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869" firstSheet="33" activeTab="45"/>
  </bookViews>
  <sheets>
    <sheet name="Мира19" sheetId="1" r:id="rId1"/>
    <sheet name="Мира21" sheetId="2" r:id="rId2"/>
    <sheet name="Мира21а" sheetId="3" r:id="rId3"/>
    <sheet name="Мира23" sheetId="4" r:id="rId4"/>
    <sheet name="Мира23а" sheetId="5" r:id="rId5"/>
    <sheet name="Мира23б" sheetId="6" r:id="rId6"/>
    <sheet name="Мира25" sheetId="7" r:id="rId7"/>
    <sheet name="Мира25а" sheetId="8" r:id="rId8"/>
    <sheet name="Мира25б" sheetId="9" r:id="rId9"/>
    <sheet name="Мира25в" sheetId="10" r:id="rId10"/>
    <sheet name="Пионерская16а" sheetId="11" r:id="rId11"/>
    <sheet name="Пионерская18а" sheetId="12" r:id="rId12"/>
    <sheet name="Победы11к1" sheetId="13" r:id="rId13"/>
    <sheet name="Победы11к2" sheetId="14" r:id="rId14"/>
    <sheet name="Победы11к3" sheetId="15" r:id="rId15"/>
    <sheet name="Победы13к1" sheetId="16" r:id="rId16"/>
    <sheet name="Победы13к2" sheetId="17" r:id="rId17"/>
    <sheet name="Победы13к3" sheetId="18" r:id="rId18"/>
    <sheet name="Победы13к4" sheetId="19" r:id="rId19"/>
    <sheet name="Победы13к5" sheetId="20" r:id="rId20"/>
    <sheet name="Победы1к1" sheetId="21" r:id="rId21"/>
    <sheet name="Победы1к2" sheetId="22" r:id="rId22"/>
    <sheet name="Победы1к3" sheetId="23" r:id="rId23"/>
    <sheet name="Победы1к4" sheetId="24" r:id="rId24"/>
    <sheet name="Победы1к5" sheetId="25" r:id="rId25"/>
    <sheet name="Победы1к6" sheetId="26" r:id="rId26"/>
    <sheet name="Победы3к1" sheetId="27" r:id="rId27"/>
    <sheet name="Победы3к3" sheetId="28" r:id="rId28"/>
    <sheet name="Победы3к4" sheetId="29" r:id="rId29"/>
    <sheet name="Победы3к5" sheetId="30" r:id="rId30"/>
    <sheet name="Победы3к6" sheetId="31" r:id="rId31"/>
    <sheet name="Победы3к7" sheetId="32" r:id="rId32"/>
    <sheet name="Победы5к1" sheetId="33" r:id="rId33"/>
    <sheet name="Победы9к1" sheetId="34" r:id="rId34"/>
    <sheet name="Победы9к2" sheetId="35" r:id="rId35"/>
    <sheet name="Радио15" sheetId="36" r:id="rId36"/>
    <sheet name="Радио17" sheetId="37" r:id="rId37"/>
    <sheet name="Тевосяна10" sheetId="46" r:id="rId38"/>
    <sheet name="Тевосяна10а" sheetId="38" r:id="rId39"/>
    <sheet name="Тевосяна10б" sheetId="39" r:id="rId40"/>
    <sheet name="Тевосяна12а" sheetId="40" r:id="rId41"/>
    <sheet name="Тевосяна12б" sheetId="41" r:id="rId42"/>
    <sheet name="Тевосяна14" sheetId="42" r:id="rId43"/>
    <sheet name="Тевосяна14а" sheetId="43" r:id="rId44"/>
    <sheet name="Тевосяна16" sheetId="44" r:id="rId45"/>
    <sheet name="Фр.шоссе50" sheetId="45" r:id="rId46"/>
    <sheet name="2-я Поселковая" sheetId="48" state="hidden" r:id="rId47"/>
    <sheet name="Спортивная14" sheetId="49" state="hidden" r:id="rId48"/>
  </sheets>
  <calcPr calcId="162913"/>
</workbook>
</file>

<file path=xl/calcChain.xml><?xml version="1.0" encoding="utf-8"?>
<calcChain xmlns="http://schemas.openxmlformats.org/spreadsheetml/2006/main">
  <c r="E16" i="27" l="1"/>
  <c r="E22" i="45"/>
  <c r="E22" i="44"/>
  <c r="E22" i="43"/>
  <c r="E22" i="41"/>
  <c r="E16" i="40"/>
  <c r="E22" i="39"/>
  <c r="E22" i="38"/>
  <c r="E22" i="37"/>
  <c r="E22" i="36"/>
  <c r="E22" i="35"/>
  <c r="E16" i="35"/>
  <c r="E22" i="34"/>
  <c r="E16" i="33"/>
  <c r="E22" i="32"/>
  <c r="E16" i="32"/>
  <c r="E16" i="31"/>
  <c r="E22" i="30"/>
  <c r="E22" i="29"/>
  <c r="E22" i="28"/>
  <c r="E16" i="28"/>
  <c r="E22" i="27"/>
  <c r="E16" i="25"/>
  <c r="E22" i="24"/>
  <c r="E16" i="24"/>
  <c r="E22" i="23"/>
  <c r="E16" i="23"/>
  <c r="E22" i="22"/>
  <c r="E16" i="22"/>
  <c r="E22" i="21"/>
  <c r="E16" i="21"/>
  <c r="E22" i="16"/>
  <c r="E22" i="15"/>
  <c r="E22" i="14"/>
  <c r="E16" i="13"/>
  <c r="E22" i="12"/>
  <c r="E22" i="11"/>
  <c r="E22" i="10"/>
  <c r="E16" i="10"/>
  <c r="E16" i="9"/>
  <c r="E22" i="8"/>
  <c r="E16" i="8"/>
  <c r="E16" i="7"/>
  <c r="E22" i="6"/>
  <c r="E16" i="6"/>
  <c r="E22" i="5"/>
  <c r="E16" i="5"/>
  <c r="E16" i="4"/>
  <c r="E22" i="3"/>
  <c r="E16" i="3"/>
  <c r="E16" i="2"/>
  <c r="D4" i="13" l="1"/>
  <c r="C4" i="13"/>
  <c r="D4" i="33"/>
  <c r="C4" i="33"/>
  <c r="D4" i="27"/>
  <c r="C4" i="27"/>
  <c r="D4" i="17"/>
  <c r="C4" i="17"/>
  <c r="D4" i="16"/>
  <c r="C4" i="16"/>
  <c r="D4" i="24"/>
  <c r="C4" i="24"/>
  <c r="D4" i="22"/>
  <c r="C4" i="22"/>
  <c r="D4" i="21"/>
  <c r="C4" i="21"/>
  <c r="D4" i="7"/>
  <c r="C4" i="7"/>
  <c r="D4" i="6"/>
  <c r="C4" i="6"/>
  <c r="D4" i="4"/>
  <c r="C4" i="4"/>
  <c r="D4" i="2"/>
  <c r="C4" i="2"/>
  <c r="D4" i="1"/>
  <c r="C4" i="1"/>
  <c r="E29" i="2" l="1"/>
  <c r="E18" i="45"/>
  <c r="E20" i="42"/>
  <c r="E20" i="11"/>
  <c r="E20" i="20"/>
  <c r="E20" i="17"/>
  <c r="E18" i="38"/>
  <c r="E18" i="46"/>
  <c r="E30" i="48" l="1"/>
  <c r="E23" i="48"/>
  <c r="E17" i="48"/>
  <c r="E10" i="48"/>
  <c r="E25" i="19"/>
  <c r="E36" i="49"/>
  <c r="E30" i="49"/>
  <c r="E23" i="49"/>
  <c r="E17" i="49"/>
  <c r="E18" i="43"/>
  <c r="E20" i="14"/>
  <c r="E47" i="49" l="1"/>
  <c r="E46" i="48"/>
  <c r="E10" i="49"/>
  <c r="D6" i="45"/>
  <c r="C6" i="45"/>
  <c r="D6" i="44"/>
  <c r="C6" i="44"/>
  <c r="D6" i="43"/>
  <c r="C6" i="43"/>
  <c r="D6" i="42"/>
  <c r="C6" i="42"/>
  <c r="D6" i="41"/>
  <c r="C6" i="41"/>
  <c r="D6" i="40"/>
  <c r="C6" i="40"/>
  <c r="D6" i="39"/>
  <c r="C6" i="39"/>
  <c r="D6" i="38"/>
  <c r="C6" i="38"/>
  <c r="D6" i="46"/>
  <c r="C6" i="46"/>
  <c r="C6" i="37"/>
  <c r="D6" i="37"/>
  <c r="D6" i="36"/>
  <c r="C6" i="36"/>
  <c r="D6" i="35"/>
  <c r="C6" i="35"/>
  <c r="D6" i="34"/>
  <c r="C6" i="34"/>
  <c r="D6" i="33"/>
  <c r="C6" i="33"/>
  <c r="D6" i="32"/>
  <c r="C6" i="32"/>
  <c r="D6" i="31"/>
  <c r="C6" i="31"/>
  <c r="D6" i="30"/>
  <c r="C6" i="30"/>
  <c r="D6" i="29"/>
  <c r="C6" i="29"/>
  <c r="D6" i="28"/>
  <c r="C6" i="28"/>
  <c r="D6" i="27"/>
  <c r="C6" i="27"/>
  <c r="D6" i="26"/>
  <c r="C6" i="26"/>
  <c r="D6" i="25"/>
  <c r="C6" i="25"/>
  <c r="D6" i="24"/>
  <c r="C6" i="24"/>
  <c r="D6" i="23"/>
  <c r="C6" i="23"/>
  <c r="D6" i="22"/>
  <c r="C6" i="22"/>
  <c r="D6" i="21"/>
  <c r="C6" i="21"/>
  <c r="D6" i="20"/>
  <c r="C6" i="20"/>
  <c r="D6" i="19"/>
  <c r="C6" i="19"/>
  <c r="D6" i="18"/>
  <c r="C6" i="18"/>
  <c r="D6" i="17"/>
  <c r="C6" i="17"/>
  <c r="D6" i="16"/>
  <c r="C6" i="16"/>
  <c r="D6" i="15" l="1"/>
  <c r="C6" i="15"/>
  <c r="D6" i="14"/>
  <c r="C6" i="14"/>
  <c r="D6" i="13"/>
  <c r="C6" i="13"/>
  <c r="D6" i="10"/>
  <c r="C6" i="10"/>
  <c r="D6" i="6"/>
  <c r="C6" i="6"/>
  <c r="D6" i="3"/>
  <c r="C6" i="3"/>
  <c r="E36" i="45" l="1"/>
  <c r="E30" i="45"/>
  <c r="E23" i="45"/>
  <c r="E17" i="45"/>
  <c r="E16" i="45" s="1"/>
  <c r="D9" i="45"/>
  <c r="C9" i="45"/>
  <c r="E36" i="44"/>
  <c r="E30" i="44"/>
  <c r="E23" i="44"/>
  <c r="E17" i="44"/>
  <c r="E16" i="44" s="1"/>
  <c r="D9" i="44"/>
  <c r="C9" i="44"/>
  <c r="E36" i="43"/>
  <c r="E30" i="43"/>
  <c r="E23" i="43"/>
  <c r="E17" i="43"/>
  <c r="E16" i="43" s="1"/>
  <c r="D9" i="43"/>
  <c r="C9" i="43"/>
  <c r="E36" i="42"/>
  <c r="E30" i="42"/>
  <c r="E23" i="42"/>
  <c r="E22" i="42" s="1"/>
  <c r="E17" i="42"/>
  <c r="E16" i="42" s="1"/>
  <c r="D9" i="42"/>
  <c r="C9" i="42"/>
  <c r="E36" i="41"/>
  <c r="E30" i="41"/>
  <c r="E23" i="41"/>
  <c r="E17" i="41"/>
  <c r="E16" i="41" s="1"/>
  <c r="D9" i="41"/>
  <c r="C9" i="41"/>
  <c r="E36" i="40"/>
  <c r="E30" i="40"/>
  <c r="E23" i="40"/>
  <c r="E22" i="40" s="1"/>
  <c r="E17" i="40"/>
  <c r="D9" i="40"/>
  <c r="C9" i="40"/>
  <c r="E36" i="39"/>
  <c r="E30" i="39"/>
  <c r="E23" i="39"/>
  <c r="E17" i="39"/>
  <c r="E16" i="39" s="1"/>
  <c r="D9" i="39"/>
  <c r="C9" i="39"/>
  <c r="E36" i="38"/>
  <c r="E30" i="38"/>
  <c r="E23" i="38"/>
  <c r="E17" i="38"/>
  <c r="E16" i="38" s="1"/>
  <c r="D9" i="38"/>
  <c r="C9" i="38"/>
  <c r="E36" i="46"/>
  <c r="E30" i="46"/>
  <c r="E23" i="46"/>
  <c r="E22" i="46" s="1"/>
  <c r="E17" i="46"/>
  <c r="E16" i="46" s="1"/>
  <c r="D9" i="46"/>
  <c r="C9" i="46"/>
  <c r="E36" i="37"/>
  <c r="E30" i="37"/>
  <c r="E23" i="37"/>
  <c r="E17" i="37"/>
  <c r="E16" i="37" s="1"/>
  <c r="D9" i="37"/>
  <c r="C9" i="37"/>
  <c r="E36" i="36"/>
  <c r="E30" i="36"/>
  <c r="E23" i="36"/>
  <c r="E17" i="36"/>
  <c r="E16" i="36" s="1"/>
  <c r="D9" i="36"/>
  <c r="C9" i="36"/>
  <c r="E36" i="35"/>
  <c r="E30" i="35"/>
  <c r="E23" i="35"/>
  <c r="E17" i="35"/>
  <c r="D9" i="35"/>
  <c r="C9" i="35"/>
  <c r="E36" i="34"/>
  <c r="E30" i="34"/>
  <c r="E23" i="34"/>
  <c r="E17" i="34"/>
  <c r="E16" i="34" s="1"/>
  <c r="D9" i="34"/>
  <c r="C9" i="34"/>
  <c r="E36" i="33"/>
  <c r="E30" i="33"/>
  <c r="E23" i="33"/>
  <c r="E22" i="33" s="1"/>
  <c r="E17" i="33"/>
  <c r="D9" i="33"/>
  <c r="C9" i="33"/>
  <c r="E36" i="32"/>
  <c r="E30" i="32"/>
  <c r="E23" i="32"/>
  <c r="E17" i="32"/>
  <c r="D9" i="32"/>
  <c r="C9" i="32"/>
  <c r="E36" i="31"/>
  <c r="E30" i="31"/>
  <c r="E23" i="31"/>
  <c r="E22" i="31" s="1"/>
  <c r="E17" i="31"/>
  <c r="D9" i="31"/>
  <c r="C9" i="31"/>
  <c r="E36" i="30"/>
  <c r="E30" i="30"/>
  <c r="E23" i="30"/>
  <c r="E17" i="30"/>
  <c r="E16" i="30" s="1"/>
  <c r="D9" i="30"/>
  <c r="C9" i="30"/>
  <c r="E36" i="29"/>
  <c r="E30" i="29"/>
  <c r="E23" i="29"/>
  <c r="E17" i="29"/>
  <c r="E16" i="29" s="1"/>
  <c r="D9" i="29"/>
  <c r="C9" i="29"/>
  <c r="E36" i="28"/>
  <c r="E30" i="28"/>
  <c r="E23" i="28"/>
  <c r="E17" i="28"/>
  <c r="D9" i="28"/>
  <c r="C9" i="28"/>
  <c r="E36" i="27"/>
  <c r="E30" i="27"/>
  <c r="E23" i="27"/>
  <c r="E17" i="27"/>
  <c r="D9" i="27"/>
  <c r="C9" i="27"/>
  <c r="E36" i="26"/>
  <c r="E30" i="26"/>
  <c r="E23" i="26"/>
  <c r="E22" i="26" s="1"/>
  <c r="E17" i="26"/>
  <c r="E16" i="26" s="1"/>
  <c r="D9" i="26"/>
  <c r="C9" i="26"/>
  <c r="E36" i="25"/>
  <c r="E30" i="25"/>
  <c r="E23" i="25"/>
  <c r="E22" i="25" s="1"/>
  <c r="E17" i="25"/>
  <c r="D9" i="25"/>
  <c r="C9" i="25"/>
  <c r="E36" i="24"/>
  <c r="E30" i="24"/>
  <c r="E23" i="24"/>
  <c r="E17" i="24"/>
  <c r="D9" i="24"/>
  <c r="C9" i="24"/>
  <c r="E36" i="23"/>
  <c r="E30" i="23"/>
  <c r="E23" i="23"/>
  <c r="E17" i="23"/>
  <c r="D9" i="23"/>
  <c r="C9" i="23"/>
  <c r="E36" i="22"/>
  <c r="E30" i="22"/>
  <c r="E23" i="22"/>
  <c r="E17" i="22"/>
  <c r="D9" i="22"/>
  <c r="C9" i="22"/>
  <c r="E36" i="21"/>
  <c r="E30" i="21"/>
  <c r="E23" i="21"/>
  <c r="E17" i="21"/>
  <c r="D9" i="21"/>
  <c r="C9" i="21"/>
  <c r="E36" i="20"/>
  <c r="E30" i="20"/>
  <c r="E23" i="20"/>
  <c r="E22" i="20" s="1"/>
  <c r="E17" i="20"/>
  <c r="E16" i="20" s="1"/>
  <c r="D9" i="20"/>
  <c r="C9" i="20"/>
  <c r="E36" i="19"/>
  <c r="E30" i="19"/>
  <c r="E46" i="19" s="1"/>
  <c r="E23" i="19"/>
  <c r="E22" i="19" s="1"/>
  <c r="E17" i="19"/>
  <c r="E16" i="19" s="1"/>
  <c r="D9" i="19"/>
  <c r="C9" i="19"/>
  <c r="E36" i="18"/>
  <c r="E30" i="18"/>
  <c r="E23" i="18"/>
  <c r="E22" i="18" s="1"/>
  <c r="E17" i="18"/>
  <c r="E16" i="18" s="1"/>
  <c r="D9" i="18"/>
  <c r="C9" i="18"/>
  <c r="E36" i="17"/>
  <c r="E30" i="17"/>
  <c r="E25" i="17"/>
  <c r="E24" i="17" s="1"/>
  <c r="E17" i="17"/>
  <c r="E16" i="17" s="1"/>
  <c r="D9" i="17"/>
  <c r="C9" i="17"/>
  <c r="E36" i="16"/>
  <c r="E30" i="16"/>
  <c r="E23" i="16"/>
  <c r="E17" i="16"/>
  <c r="E16" i="16" s="1"/>
  <c r="D9" i="16"/>
  <c r="C9" i="16"/>
  <c r="E36" i="15"/>
  <c r="E30" i="15"/>
  <c r="E23" i="15"/>
  <c r="E17" i="15"/>
  <c r="E16" i="15" s="1"/>
  <c r="D9" i="15"/>
  <c r="C9" i="15"/>
  <c r="E36" i="14"/>
  <c r="E30" i="14"/>
  <c r="E23" i="14"/>
  <c r="E17" i="14"/>
  <c r="E16" i="14" s="1"/>
  <c r="D9" i="14"/>
  <c r="C9" i="14"/>
  <c r="E36" i="13"/>
  <c r="E30" i="13"/>
  <c r="E23" i="13"/>
  <c r="E22" i="13" s="1"/>
  <c r="E17" i="13"/>
  <c r="D9" i="13"/>
  <c r="C9" i="13"/>
  <c r="E36" i="12"/>
  <c r="E30" i="12"/>
  <c r="E23" i="12"/>
  <c r="E17" i="12"/>
  <c r="E16" i="12" s="1"/>
  <c r="D9" i="12"/>
  <c r="C9" i="12"/>
  <c r="E36" i="11"/>
  <c r="E30" i="11"/>
  <c r="E23" i="11"/>
  <c r="E17" i="11"/>
  <c r="E16" i="11" s="1"/>
  <c r="D9" i="11"/>
  <c r="C9" i="11"/>
  <c r="E36" i="10"/>
  <c r="E30" i="10"/>
  <c r="E23" i="10"/>
  <c r="E17" i="10"/>
  <c r="D9" i="10"/>
  <c r="C9" i="10"/>
  <c r="E36" i="9"/>
  <c r="E30" i="9"/>
  <c r="E23" i="9"/>
  <c r="E22" i="9" s="1"/>
  <c r="E17" i="9"/>
  <c r="D9" i="9"/>
  <c r="C9" i="9"/>
  <c r="E36" i="8"/>
  <c r="E30" i="8"/>
  <c r="E23" i="8"/>
  <c r="E17" i="8"/>
  <c r="D9" i="8"/>
  <c r="C9" i="8"/>
  <c r="E36" i="7"/>
  <c r="E30" i="7"/>
  <c r="E23" i="7"/>
  <c r="E22" i="7" s="1"/>
  <c r="E17" i="7"/>
  <c r="D9" i="7"/>
  <c r="C9" i="7"/>
  <c r="E36" i="6"/>
  <c r="E30" i="6"/>
  <c r="E23" i="6"/>
  <c r="E17" i="6"/>
  <c r="D9" i="6"/>
  <c r="C9" i="6"/>
  <c r="E36" i="5"/>
  <c r="E30" i="5"/>
  <c r="E23" i="5"/>
  <c r="E17" i="5"/>
  <c r="D9" i="5"/>
  <c r="C9" i="5"/>
  <c r="E36" i="4"/>
  <c r="E30" i="4"/>
  <c r="E23" i="4"/>
  <c r="E22" i="4" s="1"/>
  <c r="E17" i="4"/>
  <c r="D9" i="4"/>
  <c r="C9" i="4"/>
  <c r="E36" i="3"/>
  <c r="E30" i="3"/>
  <c r="E23" i="3"/>
  <c r="E17" i="3"/>
  <c r="D9" i="3"/>
  <c r="C9" i="3"/>
  <c r="E36" i="2"/>
  <c r="E30" i="2"/>
  <c r="E23" i="2"/>
  <c r="E22" i="2" s="1"/>
  <c r="E17" i="2"/>
  <c r="D9" i="2"/>
  <c r="C9" i="2"/>
  <c r="E36" i="1"/>
  <c r="E30" i="1"/>
  <c r="E23" i="1"/>
  <c r="E17" i="1"/>
  <c r="D9" i="1"/>
  <c r="C9" i="1"/>
  <c r="E46" i="11" l="1"/>
  <c r="E16" i="1"/>
  <c r="E22" i="1"/>
  <c r="E46" i="42"/>
  <c r="E46" i="8"/>
  <c r="E10" i="18"/>
  <c r="E46" i="30"/>
  <c r="E46" i="36"/>
  <c r="E46" i="39"/>
  <c r="E46" i="45"/>
  <c r="E46" i="44"/>
  <c r="E46" i="41"/>
  <c r="E46" i="46"/>
  <c r="E46" i="37"/>
  <c r="E46" i="34"/>
  <c r="E46" i="32"/>
  <c r="E46" i="28"/>
  <c r="E46" i="26"/>
  <c r="E46" i="25"/>
  <c r="E46" i="24"/>
  <c r="E46" i="23"/>
  <c r="E46" i="21"/>
  <c r="E46" i="20"/>
  <c r="E46" i="18"/>
  <c r="E46" i="17"/>
  <c r="E46" i="16"/>
  <c r="E46" i="15"/>
  <c r="E46" i="12"/>
  <c r="E46" i="10"/>
  <c r="E46" i="9"/>
  <c r="E46" i="7"/>
  <c r="E46" i="6"/>
  <c r="E46" i="5"/>
  <c r="E46" i="3"/>
  <c r="E46" i="2"/>
  <c r="E46" i="40"/>
  <c r="E10" i="45"/>
  <c r="E10" i="43"/>
  <c r="E9" i="40"/>
  <c r="E10" i="39"/>
  <c r="E10" i="38"/>
  <c r="E9" i="46"/>
  <c r="E10" i="36"/>
  <c r="E10" i="35"/>
  <c r="E10" i="34"/>
  <c r="E9" i="33"/>
  <c r="E9" i="31"/>
  <c r="E10" i="30"/>
  <c r="E9" i="29"/>
  <c r="E9" i="27"/>
  <c r="E10" i="26"/>
  <c r="E10" i="25"/>
  <c r="E10" i="23"/>
  <c r="E9" i="22"/>
  <c r="E10" i="20"/>
  <c r="E10" i="19"/>
  <c r="E10" i="17"/>
  <c r="E10" i="16"/>
  <c r="E9" i="14"/>
  <c r="E9" i="13"/>
  <c r="E10" i="11"/>
  <c r="E10" i="10"/>
  <c r="E10" i="9"/>
  <c r="E10" i="8"/>
  <c r="E10" i="7"/>
  <c r="E10" i="6"/>
  <c r="E10" i="5"/>
  <c r="E9" i="4"/>
  <c r="E9" i="1"/>
  <c r="E9" i="45"/>
  <c r="E10" i="44"/>
  <c r="E46" i="43"/>
  <c r="E9" i="42"/>
  <c r="E9" i="41"/>
  <c r="E10" i="40"/>
  <c r="E9" i="39"/>
  <c r="E46" i="38"/>
  <c r="E10" i="37"/>
  <c r="E9" i="36"/>
  <c r="E9" i="35"/>
  <c r="E46" i="35"/>
  <c r="E9" i="34"/>
  <c r="E10" i="33"/>
  <c r="E46" i="33"/>
  <c r="E9" i="32"/>
  <c r="E10" i="31"/>
  <c r="E46" i="31"/>
  <c r="E9" i="30"/>
  <c r="E10" i="29"/>
  <c r="E46" i="29"/>
  <c r="E9" i="28"/>
  <c r="E10" i="27"/>
  <c r="E46" i="27"/>
  <c r="E9" i="26"/>
  <c r="E9" i="25"/>
  <c r="E9" i="24"/>
  <c r="E9" i="23"/>
  <c r="E10" i="22"/>
  <c r="E46" i="22"/>
  <c r="E9" i="21"/>
  <c r="E9" i="20"/>
  <c r="E9" i="19"/>
  <c r="E9" i="18"/>
  <c r="E9" i="17"/>
  <c r="E9" i="16"/>
  <c r="E10" i="15"/>
  <c r="E10" i="14"/>
  <c r="E46" i="14"/>
  <c r="E10" i="13"/>
  <c r="E46" i="13"/>
  <c r="E10" i="12"/>
  <c r="E9" i="11"/>
  <c r="E9" i="10"/>
  <c r="E9" i="9"/>
  <c r="E9" i="8"/>
  <c r="E9" i="7"/>
  <c r="E9" i="6"/>
  <c r="E9" i="5"/>
  <c r="E10" i="4"/>
  <c r="E46" i="4"/>
  <c r="E10" i="3"/>
  <c r="E10" i="2"/>
  <c r="E10" i="1"/>
  <c r="E9" i="44"/>
  <c r="E9" i="43"/>
  <c r="E10" i="42"/>
  <c r="E10" i="41"/>
  <c r="E9" i="38"/>
  <c r="E10" i="46"/>
  <c r="E9" i="37"/>
  <c r="E10" i="32"/>
  <c r="E10" i="28"/>
  <c r="E10" i="24"/>
  <c r="E10" i="21"/>
  <c r="E9" i="15"/>
  <c r="E9" i="12"/>
  <c r="E9" i="3"/>
  <c r="E9" i="2"/>
  <c r="E46" i="1" l="1"/>
</calcChain>
</file>

<file path=xl/sharedStrings.xml><?xml version="1.0" encoding="utf-8"?>
<sst xmlns="http://schemas.openxmlformats.org/spreadsheetml/2006/main" count="2045" uniqueCount="147">
  <si>
    <t>Начислено</t>
  </si>
  <si>
    <t>Оплачено</t>
  </si>
  <si>
    <t>% сбора</t>
  </si>
  <si>
    <t>Содержание ж/ф</t>
  </si>
  <si>
    <t>Холодное водоснабжение ОДН</t>
  </si>
  <si>
    <t>Горячее водоснабжение ОДН</t>
  </si>
  <si>
    <t>Водоотведение ОДН</t>
  </si>
  <si>
    <t>Электроснабжение ОДН</t>
  </si>
  <si>
    <t>ИТОГО:</t>
  </si>
  <si>
    <t>№ п/п</t>
  </si>
  <si>
    <r>
      <t>Диспетчерское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ЕДС ЖКХ-Восток"</t>
    </r>
    <r>
      <rPr>
        <b/>
        <sz val="10"/>
        <color theme="1"/>
        <rFont val="Times New Roman"/>
        <family val="1"/>
        <charset val="204"/>
      </rPr>
      <t>)</t>
    </r>
  </si>
  <si>
    <r>
      <t>Паспортно-регистрационное обслуживание (</t>
    </r>
    <r>
      <rPr>
        <i/>
        <sz val="10"/>
        <color theme="1"/>
        <rFont val="Times New Roman"/>
        <family val="1"/>
        <charset val="204"/>
      </rPr>
      <t>ООО</t>
    </r>
    <r>
      <rPr>
        <b/>
        <sz val="10"/>
        <color theme="1"/>
        <rFont val="Times New Roman"/>
        <family val="1"/>
        <charset val="204"/>
      </rPr>
      <t xml:space="preserve"> "</t>
    </r>
    <r>
      <rPr>
        <i/>
        <sz val="10"/>
        <color theme="1"/>
        <rFont val="Times New Roman"/>
        <family val="1"/>
        <charset val="204"/>
      </rPr>
      <t>МФЦ"</t>
    </r>
    <r>
      <rPr>
        <b/>
        <sz val="10"/>
        <color theme="1"/>
        <rFont val="Times New Roman"/>
        <family val="1"/>
        <charset val="204"/>
      </rPr>
      <t>)</t>
    </r>
  </si>
  <si>
    <t xml:space="preserve">Аварийное обслуживание МКД </t>
  </si>
  <si>
    <t>ОТЧЕТ ЗА 2020Г. С 01.01-30.09.20г.ПО СОДЕРЖАНИЮ И РЕМОНТУ ОБЩЕГО ИМУЩЕСТВА МКД ПО АДРЕСУ: УЛ.ТЕВОСЯНА 10</t>
  </si>
  <si>
    <t>ОТЧЕТ ЗА 2020Г. ПО СОДЕРЖАНИЮ И РЕМОНТУ ОБЩЕГО ИМУЩЕСТВА МКД ПО АДРЕСУ: УЛ.МИРА19</t>
  </si>
  <si>
    <t>ОТЧЕТ ЗА 2020Г. ПО СОДЕРЖАНИЮ И РЕМОНТУ ОБЩЕГО ИМУЩЕСТВА МКД ПО АДРЕСУ: УЛ.МИРА 21</t>
  </si>
  <si>
    <t>ОТЧЕТ ЗА 2020Г. ПО СОДЕРЖАНИЮ И РЕМОНТУ ОБЩЕГО ИМУЩЕСТВА МКД ПО АДРЕСУ: УЛ.МИРА 21а</t>
  </si>
  <si>
    <t>ОТЧЕТ ЗА 2020Г. ПО СОДЕРЖАНИЮ И РЕМОНТУ ОБЩЕГО ИМУЩЕСТВА МКД ПО АДРЕСУ: УЛ.МИРА 23</t>
  </si>
  <si>
    <t>ОТЧЕТ ЗА 2020Г. ПО СОДЕРЖАНИЮ И РЕМОНТУ ОБЩЕГО ИМУЩЕСТВА МКД ПО АДРЕСУ: УЛ.МИРА 23а</t>
  </si>
  <si>
    <t>ОТЧЕТ ЗА 2020Г. ПО СОДЕРЖАНИЮ И РЕМОНТУ ОБЩЕГО ИМУЩЕСТВА МКД ПО АДРЕСУ: УЛ.МИРА 23б</t>
  </si>
  <si>
    <t>ОТЧЕТ ЗА 2020Г. ПО СОДЕРЖАНИЮ И РЕМОНТУ ОБЩЕГО ИМУЩЕСТВА МКД ПО АДРЕСУ: УЛ.МИРА 25</t>
  </si>
  <si>
    <t>ОТЧЕТ ЗА 2020Г. ПО СОДЕРЖАНИЮ И РЕМОНТУ ОБЩЕГО ИМУЩЕСТВА МКД ПО АДРЕСУ: УЛ.МИРА 25а</t>
  </si>
  <si>
    <t>ОТЧЕТ ЗА 2020Г. ПО СОДЕРЖАНИЮ И РЕМОНТУ ОБЩЕГО ИМУЩЕСТВА МКД ПО АДРЕСУ: УЛ.МИРА 25б</t>
  </si>
  <si>
    <t>ОТЧЕТ ЗА 2020Г. ПО СОДЕРЖАНИЮ И РЕМОНТУ ОБЩЕГО ИМУЩЕСТВА МКД ПО АДРЕСУ: УЛ.МИРА 25в</t>
  </si>
  <si>
    <t>ОТЧЕТ ЗА 2020Г. ПО СОДЕРЖАНИЮ И РЕМОНТУ ОБЩЕГО ИМУЩЕСТВА МКД ПО АДРЕСУ: УЛ.ПИОНЕРСКАЯ 16А</t>
  </si>
  <si>
    <t>ОТЧЕТ ЗА 2020Г. ПО СОДЕРЖАНИЮ И РЕМОНТУ ОБЩЕГО ИМУЩЕСТВА МКД ПО АДРЕСУ: УЛ.ПИОНЕРСКАЯ 18а</t>
  </si>
  <si>
    <t>ОТЧЕТ ЗА 2020Г. ПО СОДЕРЖАНИЮ И РЕМОНТУ ОБЩЕГО ИМУЩЕСТВА МКД ПО АДРЕСУ: УЛ.ПОБЕДЫ 11 К 1</t>
  </si>
  <si>
    <t>ОТЧЕТ ЗА 2020Г. ПО СОДЕРЖАНИЮ И РЕМОНТУ ОБЩЕГО ИМУЩЕСТВА МКД ПО АДРЕСУ: УЛ.ПОБЕДЫ 11 К 2</t>
  </si>
  <si>
    <t>ОТЧЕТ ЗА 2020Г. ПО СОДЕРЖАНИЮ И РЕМОНТУ ОБЩЕГО ИМУЩЕСТВА МКД ПО АДРЕСУ: УЛ.ПОБЕДЫ 11 К 3</t>
  </si>
  <si>
    <t>ОТЧЕТ ЗА 2020Г. ПО СОДЕРЖАНИЮ И РЕМОНТУ ОБЩЕГО ИМУЩЕСТВА МКД ПО АДРЕСУ: УЛ.ПОБЕДЫ 13 К 1</t>
  </si>
  <si>
    <t>ОТЧЕТ ЗА 2020Г. ПО СОДЕРЖАНИЮ И РЕМОНТУ ОБЩЕГО ИМУЩЕСТВА МКД ПО АДРЕСУ: УЛ.ПОБЕДЫ 13 К 2</t>
  </si>
  <si>
    <t>ОТЧЕТ ЗА 2020Г. ПО СОДЕРЖАНИЮ И РЕМОНТУ ОБЩЕГО ИМУЩЕСТВА МКД ПО АДРЕСУ: УЛ.ПОБЕДЫ 13 К 3</t>
  </si>
  <si>
    <t>ОТЧЕТ ЗА 2020Г. ПО СОДЕРЖАНИЮ И РЕМОНТУ ОБЩЕГО ИМУЩЕСТВА МКД ПО АДРЕСУ: УЛ.ПОБЕДЫ 13 К 4</t>
  </si>
  <si>
    <t>ОТЧЕТ ЗА 2020Г. ПО СОДЕРЖАНИЮ И РЕМОНТУ ОБЩЕГО ИМУЩЕСТВА МКД ПО АДРЕСУ: УЛ.ПОБЕДЫ 13 К 5</t>
  </si>
  <si>
    <t>ОТЧЕТ ЗА 2020Г. ПО СОДЕРЖАНИЮ И РЕМОНТУ ОБЩЕГО ИМУЩЕСТВА МКД ПО АДРЕСУ: УЛ.ПОБЕДЫ 1 К 1</t>
  </si>
  <si>
    <t>ОТЧЕТ ЗА 2020Г. ПО СОДЕРЖАНИЮ И РЕМОНТУ ОБЩЕГО ИМУЩЕСТВА МКД ПО АДРЕСУ: УЛ.ПОБЕДЫ 1 К 2</t>
  </si>
  <si>
    <t>ОТЧЕТ ЗА 2020Г. ПО СОДЕРЖАНИЮ И РЕМОНТУ ОБЩЕГО ИМУЩЕСТВА МКД ПО АДРЕСУ: УЛ.ПОБЕДЫ 1 К 3</t>
  </si>
  <si>
    <t>ОТЧЕТ ЗА 2020Г. ПО СОДЕРЖАНИЮ И РЕМОНТУ ОБЩЕГО ИМУЩЕСТВА МКД ПО АДРЕСУ: УЛ.ПОБЕДЫ 1 К 4</t>
  </si>
  <si>
    <t>ОТЧЕТ ЗА 2020Г. ПО СОДЕРЖАНИЮ И РЕМОНТУ ОБЩЕГО ИМУЩЕСТВА МКД ПО АДРЕСУ: УЛ.ПОБЕДЫ 1 К 5</t>
  </si>
  <si>
    <t>ОТЧЕТ ЗА 2020Г. ПО СОДЕРЖАНИЮ И РЕМОНТУ ОБЩЕГО ИМУЩЕСТВА МКД ПО АДРЕСУ: УЛ.ПОБЕДЫ 1 К 6</t>
  </si>
  <si>
    <t>ОТЧЕТ ЗА 2020Г. ПО СОДЕРЖАНИЮ И РЕМОНТУ ОБЩЕГО ИМУЩЕСТВА МКД ПО АДРЕСУ: УЛ.ПОБЕДЫ 3 К 1</t>
  </si>
  <si>
    <t>ОТЧЕТ ЗА 2020Г. ПО СОДЕРЖАНИЮ И РЕМОНТУ ОБЩЕГО ИМУЩЕСТВА МКД ПО АДРЕСУ: УЛ.ПОБЕДЫ 3 К 3</t>
  </si>
  <si>
    <t>ОТЧЕТ ЗА 2020Г. ПО СОДЕРЖАНИЮ И РЕМОНТУ ОБЩЕГО ИМУЩЕСТВА МКД ПО АДРЕСУ: УЛ.ПОБЕДЫ 3 К 4</t>
  </si>
  <si>
    <t>ОТЧЕТ ЗА 2020Г. ПО СОДЕРЖАНИЮ И РЕМОНТУ ОБЩЕГО ИМУЩЕСТВА МКД ПО АДРЕСУ: УЛ.ПОБЕДЫ 3 К 5</t>
  </si>
  <si>
    <t>ОТЧЕТ ЗА 2020Г. ПО СОДЕРЖАНИЮ И РЕМОНТУ ОБЩЕГО ИМУЩЕСТВА МКД ПО АДРЕСУ: УЛ.ПОБЕДЫ 3 К 6</t>
  </si>
  <si>
    <t>ОТЧЕТ ЗА 2020Г. ПО СОДЕРЖАНИЮ И РЕМОНТУ ОБЩЕГО ИМУЩЕСТВА МКД ПО АДРЕСУ: УЛ.ПОБЕДЫ 3 К 7</t>
  </si>
  <si>
    <t>ОТЧЕТ ЗА 2020Г. ПО СОДЕРЖАНИЮ И РЕМОНТУ ОБЩЕГО ИМУЩЕСТВА МКД ПО АДРЕСУ: УЛ.ПОБЕДЫ 5 К 1</t>
  </si>
  <si>
    <t>ОТЧЕТ ЗА 2020Г. ПО СОДЕРЖАНИЮ И РЕМОНТУ ОБЩЕГО ИМУЩЕСТВА МКД ПО АДРЕСУ: УЛ.ПОБЕДЫ 9 К 1</t>
  </si>
  <si>
    <t>ОТЧЕТ ЗА 2020Г. ПО СОДЕРЖАНИЮ И РЕМОНТУ ОБЩЕГО ИМУЩЕСТВА МКД ПО АДРЕСУ: УЛ.ПОБЕДЫ 9 К 2</t>
  </si>
  <si>
    <t>ОТЧЕТ ЗА 2020Г. ПО СОДЕРЖАНИЮ И РЕМОНТУ ОБЩЕГО ИМУЩЕСТВА МКД ПО АДРЕСУ: УЛ.РАДИО 15</t>
  </si>
  <si>
    <t>ОТЧЕТ ЗА 2020Г. ПО СОДЕРЖАНИЮ И РЕМОНТУ ОБЩЕГО ИМУЩЕСТВА МКД ПО АДРЕСУ: УЛ.РАДИО 17</t>
  </si>
  <si>
    <t>ОТЧЕТ ЗА 2020Г. ПО СОДЕРЖАНИЮ И РЕМОНТУ ОБЩЕГО ИМУЩЕСТВА МКД ПО АДРЕСУ: УЛ.ТЕВОСЯНА 10а</t>
  </si>
  <si>
    <t>ОТЧЕТ ЗА 2020Г. ПО СОДЕРЖАНИЮ И РЕМОНТУ ОБЩЕГО ИМУЩЕСТВА МКД ПО АДРЕСУ: УЛ.ТЕВОСЯНА 10б</t>
  </si>
  <si>
    <t>ОТЧЕТ ЗА 2020Г. ПО СОДЕРЖАНИЮ И РЕМОНТУ ОБЩЕГО ИМУЩЕСТВА МКД ПО АДРЕСУ: УЛ.ТЕВОСЯНА 12а</t>
  </si>
  <si>
    <t>ОТЧЕТ ЗА 2020Г. ПО СОДЕРЖАНИЮ И РЕМОНТУ ОБЩЕГО ИМУЩЕСТВА МКД ПО АДРЕСУ: УЛ.ТЕВОСЯНА 12б</t>
  </si>
  <si>
    <t>ОТЧЕТ ЗА 2020Г. ПО СОДЕРЖАНИЮ И РЕМОНТУ ОБЩЕГО ИМУЩЕСТВА МКД ПО АДРЕСУ: УЛ.ТЕВОСЯНА 14</t>
  </si>
  <si>
    <t>ОТЧЕТ ЗА 2020Г. ПО СОДЕРЖАНИЮ И РЕМОНТУ ОБЩЕГО ИМУЩЕСТВА МКД ПО АДРЕСУ: УЛ.ТЕВОСЯНА 14а</t>
  </si>
  <si>
    <t>ОТЧЕТ ЗА 2020Г. ПО СОДЕРЖАНИЮ И РЕМОНТУ ОБЩЕГО ИМУЩЕСТВА МКД ПО АДРЕСУ: УЛ.ТЕВОСЯНА 16</t>
  </si>
  <si>
    <t>ОТЧЕТ ЗА 2020Г. ПО СОДЕРЖАНИЮ И РЕМОНТУ ОБЩЕГО ИМУЩЕСТВА МКД ПО АДРЕСУ: УЛ.ФРЯЗЕВСКОЕ ШОССЕ 50</t>
  </si>
  <si>
    <t>Задолженность за ЖК услуги собственников и нанимателей на 01.01.2020Г.</t>
  </si>
  <si>
    <t xml:space="preserve">Задолженность за ЖК услуги собственников и нанимателей на 31.12.2020Г.                                                                          </t>
  </si>
  <si>
    <t>Наименование выполненных работ (оказанных услуг)</t>
  </si>
  <si>
    <t>Стоимость работы, услуги, за год. руб.</t>
  </si>
  <si>
    <r>
      <t>Содержание земельного участка МКД (</t>
    </r>
    <r>
      <rPr>
        <i/>
        <sz val="10"/>
        <color theme="1"/>
        <rFont val="Times New Roman"/>
        <family val="1"/>
        <charset val="204"/>
      </rPr>
      <t>подметание земельного участка,уборка мусора с газонов, очистка и покраска урн, уборка снега и наледи, посыпка песком, обрубка обрезка деревьев и кустарников, покос травы и пр.</t>
    </r>
    <r>
      <rPr>
        <b/>
        <i/>
        <sz val="10"/>
        <color theme="1"/>
        <rFont val="Times New Roman"/>
        <family val="1"/>
        <charset val="204"/>
      </rPr>
      <t>)</t>
    </r>
  </si>
  <si>
    <r>
      <t>Содержание мест общего пользования МКД (</t>
    </r>
    <r>
      <rPr>
        <i/>
        <sz val="10"/>
        <color theme="1"/>
        <rFont val="Times New Roman"/>
        <family val="1"/>
        <charset val="204"/>
      </rPr>
      <t>влажное подметание лестничных проемов и маршей, влажная уборка кабин лифтов при их наличии, устранение засоров мусоропроводов при их наличии, протирка пыли с подоконников и пр.)</t>
    </r>
  </si>
  <si>
    <r>
      <t>Содержание конструктивных элементов МКД</t>
    </r>
    <r>
      <rPr>
        <sz val="10"/>
        <color theme="1"/>
        <rFont val="Times New Roman"/>
        <family val="1"/>
        <charset val="204"/>
      </rPr>
      <t xml:space="preserve"> (фундамента, подвала, стен, перекрытий и покрытий, крыши, лестниц, фасада, внутренней отделки, полов, оконных и дверных заполнений и т.п.)</t>
    </r>
    <r>
      <rPr>
        <b/>
        <sz val="10"/>
        <color theme="1"/>
        <rFont val="Times New Roman"/>
        <family val="1"/>
        <charset val="204"/>
      </rPr>
      <t>, всего:</t>
    </r>
  </si>
  <si>
    <t>в том числе текущий ремонт:</t>
  </si>
  <si>
    <r>
      <t xml:space="preserve">Содержание систем инженернотехнического обеспечения и инженерного оборудования МКД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 xml:space="preserve"> холодного, горячего водоснабжения, водоотведения, системы теплоснабжения, электроснабжения, инженерного оборудования</t>
    </r>
    <r>
      <rPr>
        <sz val="10"/>
        <color theme="1"/>
        <rFont val="Times New Roman"/>
        <family val="1"/>
        <charset val="204"/>
      </rPr>
      <t>)</t>
    </r>
    <r>
      <rPr>
        <i/>
        <sz val="10"/>
        <color theme="1"/>
        <rFont val="Times New Roman"/>
        <family val="1"/>
        <charset val="204"/>
      </rPr>
      <t>,</t>
    </r>
    <r>
      <rPr>
        <b/>
        <sz val="10"/>
        <color theme="1"/>
        <rFont val="Times New Roman"/>
        <family val="1"/>
        <charset val="204"/>
      </rPr>
      <t>всего:</t>
    </r>
  </si>
  <si>
    <r>
      <t xml:space="preserve">Техобслуживание внутридомового газового оборудования  </t>
    </r>
    <r>
      <rPr>
        <sz val="10"/>
        <color theme="1"/>
        <rFont val="Times New Roman"/>
        <family val="1"/>
        <charset val="204"/>
      </rPr>
      <t>(ООО "ГИС")</t>
    </r>
  </si>
  <si>
    <r>
      <t>Обследование, ремонт и устранение завалов вентиляционных каналов и дымоходов</t>
    </r>
    <r>
      <rPr>
        <i/>
        <sz val="10"/>
        <color theme="1"/>
        <rFont val="Times New Roman"/>
        <family val="1"/>
        <charset val="204"/>
      </rPr>
      <t xml:space="preserve"> (ООО "ГИС")</t>
    </r>
  </si>
  <si>
    <t>Работы, выполняемые в целях надлежащего содержания лифтов, всего:</t>
  </si>
  <si>
    <t>в том числе:</t>
  </si>
  <si>
    <t>Техническое обслуживание (ООО "Электросталь Лифт")</t>
  </si>
  <si>
    <t>Освидетельствование лифтов (ООО "Колис")</t>
  </si>
  <si>
    <t>Обязательное стахование опасного объекта (лифты)</t>
  </si>
  <si>
    <t>Оценка лифтов</t>
  </si>
  <si>
    <t>Дератизация и дезинсекция помещений, входящих в состав общего имущества МКД, всего:</t>
  </si>
  <si>
    <t xml:space="preserve">Дератизационная обработка </t>
  </si>
  <si>
    <t xml:space="preserve">Дезинсекционная обработка </t>
  </si>
  <si>
    <r>
      <t xml:space="preserve">Услуги единого расчетно-кассового центра </t>
    </r>
    <r>
      <rPr>
        <i/>
        <sz val="10"/>
        <color theme="1"/>
        <rFont val="Times New Roman"/>
        <family val="1"/>
        <charset val="204"/>
      </rPr>
      <t>(ЕИРЦ)</t>
    </r>
  </si>
  <si>
    <t>Услуи и работы по управлению МКД</t>
  </si>
  <si>
    <r>
      <t xml:space="preserve">Коммунальные услуги на общедомовые нужды </t>
    </r>
    <r>
      <rPr>
        <i/>
        <sz val="10"/>
        <color theme="1"/>
        <rFont val="Times New Roman"/>
        <family val="1"/>
        <charset val="204"/>
      </rPr>
      <t>(холодное водоснабжение, горячее водоснабжение при наличии, водоотведение, электроснабжение)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всего</t>
    </r>
  </si>
  <si>
    <t xml:space="preserve">Всего выполнено работ, оказано услуг по содержанию общего имущества МКД </t>
  </si>
  <si>
    <t>Виды работ, услуг</t>
  </si>
  <si>
    <t>Ремонт входных групп п.1,5,6</t>
  </si>
  <si>
    <t>Устройство асфальтобетонного покрытия</t>
  </si>
  <si>
    <t>Ремонт подъезда п.2,3,4</t>
  </si>
  <si>
    <t>Ремонт л/клетки п.2,3,4</t>
  </si>
  <si>
    <t>Установка оконных блоков п.2</t>
  </si>
  <si>
    <t>Ремонт подъезда п.1</t>
  </si>
  <si>
    <t>Ремонт мягкой кровли п.3</t>
  </si>
  <si>
    <t>Ремонт мягкой кровли п.1</t>
  </si>
  <si>
    <t>Ремонт мягкой кровли</t>
  </si>
  <si>
    <t>Герметизация м/п швов кв.61,53,10,4,209,177,213,172,167,171,175</t>
  </si>
  <si>
    <t>Герметизация м/п швов кв.20,23,25,32,55,69,72</t>
  </si>
  <si>
    <t>ОТЧЕТ ЗА 2020Г. ПО СОДЕРЖАНИЮ И РЕМОНТУ ОБЩЕГО ИМУЩЕСТВА МКД ПО АДРЕСУ: УЛ.СПОРТИВНАЯ,14</t>
  </si>
  <si>
    <t>Восстановление освещения в подвале</t>
  </si>
  <si>
    <t>Устройство пандуса и ремонт ограждения</t>
  </si>
  <si>
    <t>Устройство пандуса контейнерной площадки</t>
  </si>
  <si>
    <t>Замена труб ХВС (нижняя разводка)</t>
  </si>
  <si>
    <t>Ремонт освещения с заменой светильников</t>
  </si>
  <si>
    <t>Укладка проводов в короба</t>
  </si>
  <si>
    <t>Промывка систем канализации</t>
  </si>
  <si>
    <t>Восстановление освещения в мусорокамере</t>
  </si>
  <si>
    <t>Замена труб канализации</t>
  </si>
  <si>
    <t>Промывка системы канализации</t>
  </si>
  <si>
    <t>Замена труб канализации п.2 и часть п.1</t>
  </si>
  <si>
    <t>Изготовление и установка деревянных рам</t>
  </si>
  <si>
    <t>Замена стояка горячей водыкв.79,83,87,91,95,99,103,107</t>
  </si>
  <si>
    <t>Замена стояха холодного водоснабжения кв.83,87,91,95,99,103,107,79</t>
  </si>
  <si>
    <t>Замена труб горячей воды</t>
  </si>
  <si>
    <t>ОТЧЕТ ЗА 2020Г. ПО СОДЕРЖАНИЮ И РЕМОНТУ ОБЩЕГО ИМУЩЕСТВА МКД ПО АДРЕСУ: УЛ.2-я Поселковая,22</t>
  </si>
  <si>
    <t>Ремонт отмостки п.1</t>
  </si>
  <si>
    <t>Ремонт отмостки</t>
  </si>
  <si>
    <t>Ремонт вентборовов над кв.18,19,38,39</t>
  </si>
  <si>
    <t>Ремонт вентборовов над кв.16,17</t>
  </si>
  <si>
    <t>Ремонт вентборовов над кв.15,16,17,36,37</t>
  </si>
  <si>
    <t>Роспись подъезда п.3</t>
  </si>
  <si>
    <t>Ремонт л/клетки п.3</t>
  </si>
  <si>
    <t>Герметизация м/п швов кв.2,99,121,141,177,189,172,176</t>
  </si>
  <si>
    <t>Ремонт мягкой кровли кв.77</t>
  </si>
  <si>
    <t>Герметизация м/п швов</t>
  </si>
  <si>
    <t>Ремонт мягкой кровли п.1,2,3,4</t>
  </si>
  <si>
    <t>Ремонт шиферной кровли кв.17,19,63,93,94,95,96</t>
  </si>
  <si>
    <t xml:space="preserve">Герметизация м/п швов </t>
  </si>
  <si>
    <t>Герметизация м/п швов кв.71,76</t>
  </si>
  <si>
    <t>Утепление квартир кв.124</t>
  </si>
  <si>
    <t>Утепление квартир кв.70</t>
  </si>
  <si>
    <t>Утепление квартир кв.10,14,58,69</t>
  </si>
  <si>
    <t>Герметизация м/п швов кв.6,22,29,32,78,104</t>
  </si>
  <si>
    <t>Ремонт подъезда п.4</t>
  </si>
  <si>
    <t>Ремонт л/клетки п.5,6</t>
  </si>
  <si>
    <t>Ремонт подъезда п.1,4</t>
  </si>
  <si>
    <t>Ремонт козырька п.3</t>
  </si>
  <si>
    <t>Ремонт входной группы п.2</t>
  </si>
  <si>
    <t>Ремонт входных групп п.1,2,3</t>
  </si>
  <si>
    <t>Ремонт л/клетки п.2</t>
  </si>
  <si>
    <t>Ремонт лестничной клеткип.1</t>
  </si>
  <si>
    <t>Прочие прямые расходы (налоги)</t>
  </si>
  <si>
    <t>Замена труб ХВС</t>
  </si>
  <si>
    <t>Изготовление и установка деревянных рам п.2</t>
  </si>
  <si>
    <t>Изготовление и установка дерев.рам</t>
  </si>
  <si>
    <t>Изготовление и установка деревянных рам п.4</t>
  </si>
  <si>
    <t>Замена стояка канализации (кухня)кв.148,152,156,160,164,168,172,176,180</t>
  </si>
  <si>
    <t>Изготовление и монтаж двери подвала</t>
  </si>
  <si>
    <t>Изготовление и монтаж деревянной двери в подвале</t>
  </si>
  <si>
    <t>Изготовление и монтаж деревянной двери мусоропровода в п.3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</si>
</sst>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/>
    <xf numFmtId="4" fontId="4" fillId="0" borderId="0" xfId="0" applyNumberFormat="1" applyFont="1"/>
    <xf numFmtId="0" fontId="7" fillId="0" borderId="0" xfId="0" applyFont="1" applyAlignment="1">
      <alignment horizontal="center" vertical="top"/>
    </xf>
    <xf numFmtId="0" fontId="7" fillId="0" borderId="16" xfId="0" applyFont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4" fontId="6" fillId="0" borderId="2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top"/>
    </xf>
    <xf numFmtId="4" fontId="6" fillId="0" borderId="2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4" fontId="7" fillId="0" borderId="7" xfId="0" applyNumberFormat="1" applyFont="1" applyBorder="1"/>
    <xf numFmtId="2" fontId="6" fillId="0" borderId="33" xfId="0" applyNumberFormat="1" applyFont="1" applyBorder="1" applyAlignment="1">
      <alignment horizontal="left" vertical="center" wrapText="1"/>
    </xf>
    <xf numFmtId="2" fontId="6" fillId="0" borderId="34" xfId="0" applyNumberFormat="1" applyFont="1" applyBorder="1" applyAlignment="1">
      <alignment horizontal="left" vertical="center" wrapText="1"/>
    </xf>
    <xf numFmtId="4" fontId="7" fillId="0" borderId="14" xfId="0" applyNumberFormat="1" applyFont="1" applyBorder="1"/>
    <xf numFmtId="4" fontId="6" fillId="0" borderId="20" xfId="0" applyNumberFormat="1" applyFont="1" applyBorder="1"/>
    <xf numFmtId="4" fontId="6" fillId="0" borderId="7" xfId="0" applyNumberFormat="1" applyFont="1" applyBorder="1"/>
    <xf numFmtId="4" fontId="6" fillId="0" borderId="14" xfId="0" applyNumberFormat="1" applyFont="1" applyBorder="1"/>
    <xf numFmtId="4" fontId="6" fillId="0" borderId="4" xfId="0" applyNumberFormat="1" applyFont="1" applyBorder="1"/>
    <xf numFmtId="0" fontId="3" fillId="0" borderId="0" xfId="0" applyFont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top"/>
    </xf>
    <xf numFmtId="0" fontId="7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6" xfId="0" applyNumberFormat="1" applyFont="1" applyBorder="1"/>
    <xf numFmtId="4" fontId="6" fillId="0" borderId="10" xfId="0" applyNumberFormat="1" applyFont="1" applyBorder="1" applyAlignment="1">
      <alignment horizontal="right" vertical="center"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4" fontId="6" fillId="0" borderId="13" xfId="0" applyNumberFormat="1" applyFont="1" applyBorder="1" applyAlignment="1">
      <alignment horizontal="right" vertical="center" wrapText="1"/>
    </xf>
    <xf numFmtId="4" fontId="9" fillId="0" borderId="15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left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/>
    </xf>
    <xf numFmtId="0" fontId="7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4" fontId="6" fillId="0" borderId="25" xfId="0" applyNumberFormat="1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4" fontId="7" fillId="0" borderId="25" xfId="0" applyNumberFormat="1" applyFont="1" applyBorder="1" applyAlignment="1">
      <alignment vertical="center"/>
    </xf>
    <xf numFmtId="0" fontId="7" fillId="0" borderId="31" xfId="0" applyFont="1" applyBorder="1" applyAlignment="1">
      <alignment horizontal="center" vertical="top"/>
    </xf>
    <xf numFmtId="4" fontId="6" fillId="0" borderId="41" xfId="0" applyNumberFormat="1" applyFont="1" applyBorder="1"/>
    <xf numFmtId="0" fontId="7" fillId="0" borderId="35" xfId="0" applyFont="1" applyBorder="1" applyAlignment="1">
      <alignment horizontal="center" vertical="top"/>
    </xf>
    <xf numFmtId="4" fontId="6" fillId="0" borderId="4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top" wrapText="1"/>
    </xf>
    <xf numFmtId="4" fontId="6" fillId="0" borderId="41" xfId="0" applyNumberFormat="1" applyFont="1" applyBorder="1" applyAlignment="1">
      <alignment horizontal="right" vertical="center"/>
    </xf>
    <xf numFmtId="0" fontId="7" fillId="0" borderId="39" xfId="0" applyFont="1" applyBorder="1" applyAlignment="1">
      <alignment vertical="center"/>
    </xf>
    <xf numFmtId="0" fontId="7" fillId="0" borderId="39" xfId="0" applyFont="1" applyBorder="1" applyAlignment="1">
      <alignment horizontal="center" vertical="top"/>
    </xf>
    <xf numFmtId="0" fontId="6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4" fontId="7" fillId="0" borderId="41" xfId="0" applyNumberFormat="1" applyFont="1" applyBorder="1"/>
    <xf numFmtId="4" fontId="0" fillId="0" borderId="0" xfId="0" applyNumberFormat="1"/>
    <xf numFmtId="4" fontId="6" fillId="0" borderId="14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8" fillId="0" borderId="32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right" vertical="top" wrapText="1"/>
    </xf>
    <xf numFmtId="0" fontId="8" fillId="0" borderId="37" xfId="0" applyFont="1" applyBorder="1" applyAlignment="1">
      <alignment horizontal="right" vertical="top" wrapText="1"/>
    </xf>
    <xf numFmtId="0" fontId="8" fillId="0" borderId="9" xfId="0" applyFont="1" applyBorder="1" applyAlignment="1">
      <alignment horizontal="right" vertical="top" wrapText="1"/>
    </xf>
    <xf numFmtId="0" fontId="8" fillId="0" borderId="32" xfId="0" applyFont="1" applyBorder="1" applyAlignment="1">
      <alignment horizontal="right" vertical="top" wrapText="1"/>
    </xf>
    <xf numFmtId="0" fontId="8" fillId="0" borderId="33" xfId="0" applyFont="1" applyBorder="1" applyAlignment="1">
      <alignment horizontal="right" vertical="top" wrapText="1"/>
    </xf>
    <xf numFmtId="0" fontId="8" fillId="0" borderId="34" xfId="0" applyFont="1" applyBorder="1" applyAlignment="1">
      <alignment horizontal="right" vertical="top" wrapText="1"/>
    </xf>
    <xf numFmtId="0" fontId="6" fillId="0" borderId="22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28" xfId="0" applyFont="1" applyBorder="1" applyAlignment="1">
      <alignment horizontal="left" wrapText="1"/>
    </xf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/>
    </xf>
    <xf numFmtId="0" fontId="8" fillId="0" borderId="3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6" xfId="0" applyFont="1" applyBorder="1" applyAlignment="1">
      <alignment horizontal="right" vertical="top" wrapText="1"/>
    </xf>
    <xf numFmtId="2" fontId="6" fillId="0" borderId="28" xfId="0" applyNumberFormat="1" applyFont="1" applyBorder="1" applyAlignment="1">
      <alignment horizontal="left" vertical="center" wrapText="1"/>
    </xf>
    <xf numFmtId="2" fontId="6" fillId="0" borderId="29" xfId="0" applyNumberFormat="1" applyFont="1" applyBorder="1" applyAlignment="1">
      <alignment horizontal="left" vertical="center" wrapText="1"/>
    </xf>
    <xf numFmtId="2" fontId="6" fillId="0" borderId="30" xfId="0" applyNumberFormat="1" applyFont="1" applyBorder="1" applyAlignment="1">
      <alignment horizontal="left" vertical="center" wrapText="1"/>
    </xf>
    <xf numFmtId="0" fontId="8" fillId="0" borderId="36" xfId="0" applyFont="1" applyBorder="1" applyAlignment="1">
      <alignment horizontal="right"/>
    </xf>
    <xf numFmtId="0" fontId="8" fillId="0" borderId="37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3" xfId="0" applyFont="1" applyBorder="1" applyAlignment="1">
      <alignment horizontal="right" vertical="top" wrapText="1"/>
    </xf>
    <xf numFmtId="0" fontId="8" fillId="0" borderId="2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6" fillId="0" borderId="37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8" fillId="0" borderId="36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4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0" fontId="8" fillId="0" borderId="42" xfId="0" applyFont="1" applyBorder="1" applyAlignment="1"/>
    <xf numFmtId="0" fontId="8" fillId="0" borderId="43" xfId="0" applyFont="1" applyBorder="1" applyAlignment="1"/>
    <xf numFmtId="0" fontId="8" fillId="0" borderId="44" xfId="0" applyFont="1" applyBorder="1" applyAlignment="1"/>
    <xf numFmtId="0" fontId="8" fillId="0" borderId="2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7" fillId="0" borderId="3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5" workbookViewId="0">
      <selection activeCell="F45" sqref="F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9.109375" customWidth="1"/>
  </cols>
  <sheetData>
    <row r="1" spans="1:5" ht="39" customHeight="1" x14ac:dyDescent="0.3">
      <c r="A1" s="103" t="s">
        <v>14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76394.78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712920.12+45361.8</f>
        <v>758281.92</v>
      </c>
      <c r="D4" s="36">
        <f>629025.94+37113.28</f>
        <v>666139.22</v>
      </c>
      <c r="E4" s="18"/>
    </row>
    <row r="5" spans="1:5" ht="14.4" customHeight="1" x14ac:dyDescent="0.3">
      <c r="A5" s="101" t="s">
        <v>4</v>
      </c>
      <c r="B5" s="102"/>
      <c r="C5" s="35">
        <v>665.52</v>
      </c>
      <c r="D5" s="36">
        <v>585.04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562.98</v>
      </c>
      <c r="D7" s="36">
        <v>494.99</v>
      </c>
      <c r="E7" s="18"/>
    </row>
    <row r="8" spans="1:5" ht="14.4" customHeight="1" x14ac:dyDescent="0.3">
      <c r="A8" s="107" t="s">
        <v>7</v>
      </c>
      <c r="B8" s="108"/>
      <c r="C8" s="37">
        <v>7009.86</v>
      </c>
      <c r="D8" s="38">
        <v>6120.61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766520.28</v>
      </c>
      <c r="D9" s="40">
        <f t="shared" ref="D9" si="0">SUM(D4:D8)</f>
        <v>673339.86</v>
      </c>
      <c r="E9" s="75">
        <f>D9/C9*100</f>
        <v>87.843711062674032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169575.20000000007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95" customHeight="1" thickBot="1" x14ac:dyDescent="0.35">
      <c r="A14" s="5">
        <v>1</v>
      </c>
      <c r="B14" s="113" t="s">
        <v>63</v>
      </c>
      <c r="C14" s="114"/>
      <c r="D14" s="115"/>
      <c r="E14" s="10">
        <v>123638.28</v>
      </c>
    </row>
    <row r="15" spans="1:5" ht="43.95" customHeight="1" thickBot="1" x14ac:dyDescent="0.35">
      <c r="A15" s="5">
        <v>2</v>
      </c>
      <c r="B15" s="116" t="s">
        <v>64</v>
      </c>
      <c r="C15" s="117"/>
      <c r="D15" s="118"/>
      <c r="E15" s="8">
        <v>58519.15</v>
      </c>
    </row>
    <row r="16" spans="1:5" ht="43.95" customHeight="1" x14ac:dyDescent="0.3">
      <c r="A16" s="26">
        <v>3</v>
      </c>
      <c r="B16" s="98" t="s">
        <v>65</v>
      </c>
      <c r="C16" s="99"/>
      <c r="D16" s="100"/>
      <c r="E16" s="46">
        <f>9480.94+E17+20930.07</f>
        <v>148403.35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117992.34</v>
      </c>
    </row>
    <row r="18" spans="1:5" x14ac:dyDescent="0.3">
      <c r="A18" s="51"/>
      <c r="B18" s="82" t="s">
        <v>89</v>
      </c>
      <c r="C18" s="83"/>
      <c r="D18" s="84"/>
      <c r="E18" s="52">
        <v>117992.34</v>
      </c>
    </row>
    <row r="19" spans="1:5" x14ac:dyDescent="0.3">
      <c r="A19" s="51"/>
      <c r="B19" s="82"/>
      <c r="C19" s="122"/>
      <c r="D19" s="123"/>
      <c r="E19" s="52"/>
    </row>
    <row r="20" spans="1:5" x14ac:dyDescent="0.3">
      <c r="A20" s="51"/>
      <c r="B20" s="79"/>
      <c r="C20" s="80"/>
      <c r="D20" s="81"/>
      <c r="E20" s="53"/>
    </row>
    <row r="21" spans="1:5" ht="15" thickBot="1" x14ac:dyDescent="0.35">
      <c r="A21" s="54"/>
      <c r="B21" s="95"/>
      <c r="C21" s="96"/>
      <c r="D21" s="97"/>
      <c r="E21" s="55"/>
    </row>
    <row r="22" spans="1:5" ht="40.200000000000003" customHeight="1" x14ac:dyDescent="0.3">
      <c r="A22" s="29">
        <v>4</v>
      </c>
      <c r="B22" s="98" t="s">
        <v>67</v>
      </c>
      <c r="C22" s="99"/>
      <c r="D22" s="100"/>
      <c r="E22" s="46">
        <f>14221.41+E23+254540.11</f>
        <v>315706.26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46944.74</v>
      </c>
    </row>
    <row r="24" spans="1:5" x14ac:dyDescent="0.3">
      <c r="A24" s="51"/>
      <c r="B24" s="82" t="s">
        <v>116</v>
      </c>
      <c r="C24" s="83"/>
      <c r="D24" s="84"/>
      <c r="E24" s="52">
        <v>46944.74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14112.43</v>
      </c>
    </row>
    <row r="29" spans="1:5" ht="27.6" customHeight="1" thickBot="1" x14ac:dyDescent="0.35">
      <c r="A29" s="28">
        <v>6</v>
      </c>
      <c r="B29" s="124" t="s">
        <v>69</v>
      </c>
      <c r="C29" s="125"/>
      <c r="D29" s="126"/>
      <c r="E29" s="57">
        <v>30240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0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269.89999999999998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195.5</v>
      </c>
    </row>
    <row r="39" spans="1:6" ht="15" thickBot="1" x14ac:dyDescent="0.35">
      <c r="A39" s="28"/>
      <c r="B39" s="136" t="s">
        <v>78</v>
      </c>
      <c r="C39" s="136"/>
      <c r="D39" s="136"/>
      <c r="E39" s="16">
        <v>74.400000000000006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18978.96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9703.68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63093.3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16842.599999999999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25773.55</v>
      </c>
    </row>
    <row r="45" spans="1:6" ht="29.4" customHeight="1" thickBot="1" x14ac:dyDescent="0.35">
      <c r="A45" s="9">
        <v>14</v>
      </c>
      <c r="B45" s="119" t="s">
        <v>81</v>
      </c>
      <c r="C45" s="120"/>
      <c r="D45" s="121"/>
      <c r="E45" s="20">
        <v>9282.2999999999993</v>
      </c>
      <c r="F45" s="74"/>
    </row>
    <row r="46" spans="1:6" ht="22.2" customHeight="1" thickBot="1" x14ac:dyDescent="0.35">
      <c r="A46" s="9">
        <v>15</v>
      </c>
      <c r="B46" s="63" t="s">
        <v>82</v>
      </c>
      <c r="C46" s="64"/>
      <c r="D46" s="64"/>
      <c r="E46" s="8">
        <f>E14+E15+E16+E22+E28+E29+E30+E36+E40+E41+E42+E43+E44+E45</f>
        <v>834563.76000000024</v>
      </c>
    </row>
    <row r="50" spans="2:2" x14ac:dyDescent="0.3">
      <c r="B50" s="3"/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7" workbookViewId="0">
      <selection activeCell="F45" sqref="F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7.5" customHeight="1" x14ac:dyDescent="0.3">
      <c r="A1" s="103" t="s">
        <v>23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269733.34000000003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2622081.7200000002</v>
      </c>
      <c r="D4" s="36">
        <v>2490495.84</v>
      </c>
      <c r="E4" s="18"/>
    </row>
    <row r="5" spans="1:5" ht="14.4" customHeight="1" x14ac:dyDescent="0.3">
      <c r="A5" s="101" t="s">
        <v>4</v>
      </c>
      <c r="B5" s="102"/>
      <c r="C5" s="35">
        <v>4074.42</v>
      </c>
      <c r="D5" s="36">
        <v>3856.12</v>
      </c>
      <c r="E5" s="18"/>
    </row>
    <row r="6" spans="1:5" ht="14.4" customHeight="1" x14ac:dyDescent="0.3">
      <c r="A6" s="101" t="s">
        <v>5</v>
      </c>
      <c r="B6" s="102"/>
      <c r="C6" s="35">
        <f>17998.8+4121.88</f>
        <v>22120.68</v>
      </c>
      <c r="D6" s="36">
        <f>17009.89+3902.23</f>
        <v>20912.12</v>
      </c>
      <c r="E6" s="18"/>
    </row>
    <row r="7" spans="1:5" ht="14.4" customHeight="1" x14ac:dyDescent="0.3">
      <c r="A7" s="101" t="s">
        <v>6</v>
      </c>
      <c r="B7" s="102"/>
      <c r="C7" s="35">
        <v>6886.43</v>
      </c>
      <c r="D7" s="36">
        <v>6517.2</v>
      </c>
      <c r="E7" s="18"/>
    </row>
    <row r="8" spans="1:5" ht="14.4" customHeight="1" x14ac:dyDescent="0.3">
      <c r="A8" s="107" t="s">
        <v>7</v>
      </c>
      <c r="B8" s="108"/>
      <c r="C8" s="37">
        <v>32996.67</v>
      </c>
      <c r="D8" s="38">
        <v>31028.18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2688159.9200000004</v>
      </c>
      <c r="D9" s="40">
        <f t="shared" ref="D9" si="0">SUM(D4:D8)</f>
        <v>2552809.4600000004</v>
      </c>
      <c r="E9" s="40">
        <f>D9/C9*100</f>
        <v>94.964940181088636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405083.79999999981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306098.13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841460.72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30818.52+68034.79</f>
        <v>98853.31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46227.78+827402.18</f>
        <v>873629.96000000008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50182.8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97200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0</v>
      </c>
    </row>
    <row r="35" spans="1:6" ht="14.4" customHeight="1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55492.799999999996</v>
      </c>
    </row>
    <row r="37" spans="1:6" ht="14.4" customHeight="1" x14ac:dyDescent="0.3">
      <c r="A37" s="27"/>
      <c r="B37" s="59" t="s">
        <v>71</v>
      </c>
      <c r="C37" s="11"/>
      <c r="D37" s="12"/>
      <c r="E37" s="60"/>
    </row>
    <row r="38" spans="1:6" x14ac:dyDescent="0.3">
      <c r="A38" s="27"/>
      <c r="B38" s="129" t="s">
        <v>77</v>
      </c>
      <c r="C38" s="129"/>
      <c r="D38" s="129"/>
      <c r="E38" s="13">
        <v>11811.6</v>
      </c>
    </row>
    <row r="39" spans="1:6" ht="15" thickBot="1" x14ac:dyDescent="0.35">
      <c r="A39" s="28"/>
      <c r="B39" s="136" t="s">
        <v>78</v>
      </c>
      <c r="C39" s="136"/>
      <c r="D39" s="136"/>
      <c r="E39" s="16">
        <v>43681.2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69815.75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31190.400000000001</v>
      </c>
    </row>
    <row r="42" spans="1:6" ht="14.4" customHeight="1" thickBot="1" x14ac:dyDescent="0.35">
      <c r="A42" s="9">
        <v>11</v>
      </c>
      <c r="B42" s="76" t="s">
        <v>12</v>
      </c>
      <c r="C42" s="77"/>
      <c r="D42" s="78"/>
      <c r="E42" s="17">
        <v>205089.63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54748.18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83778.91</v>
      </c>
    </row>
    <row r="45" spans="1:6" ht="28.95" customHeight="1" thickBot="1" x14ac:dyDescent="0.35">
      <c r="A45" s="5">
        <v>14</v>
      </c>
      <c r="B45" s="119" t="s">
        <v>81</v>
      </c>
      <c r="C45" s="120"/>
      <c r="D45" s="121"/>
      <c r="E45" s="20">
        <v>66078.2</v>
      </c>
      <c r="F45" s="74"/>
    </row>
    <row r="46" spans="1:6" ht="22.2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2833618.79</v>
      </c>
    </row>
  </sheetData>
  <mergeCells count="39">
    <mergeCell ref="B44:D44"/>
    <mergeCell ref="B45:D45"/>
    <mergeCell ref="B13:D13"/>
    <mergeCell ref="B16:D16"/>
    <mergeCell ref="B21:D21"/>
    <mergeCell ref="B22:D22"/>
    <mergeCell ref="B27:D27"/>
    <mergeCell ref="B24:D24"/>
    <mergeCell ref="B25:D25"/>
    <mergeCell ref="B26:D26"/>
    <mergeCell ref="B14:D14"/>
    <mergeCell ref="B15:D15"/>
    <mergeCell ref="B18:D18"/>
    <mergeCell ref="B19:D19"/>
    <mergeCell ref="B20:D20"/>
    <mergeCell ref="B38:D38"/>
    <mergeCell ref="A10:D10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41:D41"/>
    <mergeCell ref="B43:D43"/>
    <mergeCell ref="B28:D28"/>
    <mergeCell ref="B29:D29"/>
    <mergeCell ref="B30:D30"/>
    <mergeCell ref="B32:D32"/>
    <mergeCell ref="B34:D34"/>
    <mergeCell ref="B33:D33"/>
    <mergeCell ref="B35:D35"/>
    <mergeCell ref="B36:D36"/>
    <mergeCell ref="B39:D39"/>
    <mergeCell ref="B40:D40"/>
    <mergeCell ref="B42:D4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E45" sqref="E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1.6640625" style="3" customWidth="1"/>
    <col min="4" max="4" width="17.5546875" customWidth="1"/>
    <col min="5" max="5" width="15.88671875" customWidth="1"/>
  </cols>
  <sheetData>
    <row r="1" spans="1:5" ht="39" customHeight="1" x14ac:dyDescent="0.3">
      <c r="A1" s="103" t="s">
        <v>24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127871.53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1082791.08</v>
      </c>
      <c r="D4" s="36">
        <v>946900</v>
      </c>
      <c r="E4" s="18"/>
    </row>
    <row r="5" spans="1:5" ht="14.4" customHeight="1" x14ac:dyDescent="0.3">
      <c r="A5" s="101" t="s">
        <v>4</v>
      </c>
      <c r="B5" s="102"/>
      <c r="C5" s="35">
        <v>1270.8599999999999</v>
      </c>
      <c r="D5" s="36">
        <v>1107.1199999999999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1073.94</v>
      </c>
      <c r="D7" s="36">
        <v>935.76</v>
      </c>
      <c r="E7" s="18"/>
    </row>
    <row r="8" spans="1:5" ht="14.4" customHeight="1" x14ac:dyDescent="0.3">
      <c r="A8" s="107" t="s">
        <v>7</v>
      </c>
      <c r="B8" s="108"/>
      <c r="C8" s="37">
        <v>13382.1</v>
      </c>
      <c r="D8" s="38">
        <v>11586.89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1098517.9800000002</v>
      </c>
      <c r="D9" s="40">
        <f t="shared" ref="D9" si="0">SUM(D4:D8)</f>
        <v>960529.77</v>
      </c>
      <c r="E9" s="40">
        <f>D9/C9*100</f>
        <v>87.438693538725673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265859.74000000022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" customHeight="1" thickBot="1" x14ac:dyDescent="0.35">
      <c r="A14" s="5">
        <v>1</v>
      </c>
      <c r="B14" s="113" t="s">
        <v>63</v>
      </c>
      <c r="C14" s="114"/>
      <c r="D14" s="115"/>
      <c r="E14" s="10">
        <v>116079.22</v>
      </c>
    </row>
    <row r="15" spans="1:5" ht="42" customHeight="1" thickBot="1" x14ac:dyDescent="0.35">
      <c r="A15" s="5">
        <v>2</v>
      </c>
      <c r="B15" s="116" t="s">
        <v>64</v>
      </c>
      <c r="C15" s="117"/>
      <c r="D15" s="118"/>
      <c r="E15" s="8">
        <v>98937.98</v>
      </c>
    </row>
    <row r="16" spans="1:5" ht="42" customHeight="1" x14ac:dyDescent="0.3">
      <c r="A16" s="26">
        <v>3</v>
      </c>
      <c r="B16" s="98" t="s">
        <v>65</v>
      </c>
      <c r="C16" s="99"/>
      <c r="D16" s="100"/>
      <c r="E16" s="46">
        <f>12978.31+E17+28650.84</f>
        <v>343780.53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302151.38</v>
      </c>
    </row>
    <row r="18" spans="1:5" x14ac:dyDescent="0.3">
      <c r="A18" s="51"/>
      <c r="B18" s="82" t="s">
        <v>97</v>
      </c>
      <c r="C18" s="83"/>
      <c r="D18" s="84"/>
      <c r="E18" s="52">
        <v>1769.02</v>
      </c>
    </row>
    <row r="19" spans="1:5" x14ac:dyDescent="0.3">
      <c r="A19" s="51"/>
      <c r="B19" s="143" t="s">
        <v>120</v>
      </c>
      <c r="C19" s="144"/>
      <c r="D19" s="145"/>
      <c r="E19" s="52">
        <v>49614.38</v>
      </c>
    </row>
    <row r="20" spans="1:5" x14ac:dyDescent="0.3">
      <c r="A20" s="51"/>
      <c r="B20" s="79" t="s">
        <v>132</v>
      </c>
      <c r="C20" s="80"/>
      <c r="D20" s="81"/>
      <c r="E20" s="53">
        <f>119996.53+130771.45</f>
        <v>250767.97999999998</v>
      </c>
    </row>
    <row r="21" spans="1:5" ht="15" thickBot="1" x14ac:dyDescent="0.35">
      <c r="A21" s="54"/>
      <c r="B21" s="95"/>
      <c r="C21" s="96"/>
      <c r="D21" s="97"/>
      <c r="E21" s="55"/>
    </row>
    <row r="22" spans="1:5" ht="42" customHeight="1" x14ac:dyDescent="0.3">
      <c r="A22" s="29">
        <v>4</v>
      </c>
      <c r="B22" s="98" t="s">
        <v>67</v>
      </c>
      <c r="C22" s="99"/>
      <c r="D22" s="100"/>
      <c r="E22" s="46">
        <f>19467.46+348435.93</f>
        <v>367903.39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18671.28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43200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8823.7000000000007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4492.3</v>
      </c>
    </row>
    <row r="39" spans="1:5" ht="15" thickBot="1" x14ac:dyDescent="0.35">
      <c r="A39" s="28"/>
      <c r="B39" s="136" t="s">
        <v>78</v>
      </c>
      <c r="C39" s="136"/>
      <c r="D39" s="136"/>
      <c r="E39" s="16">
        <v>4331.3999999999996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29400.84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13682.4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86367.42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23055.57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35281.01</v>
      </c>
    </row>
    <row r="45" spans="1:5" ht="27" customHeight="1" thickBot="1" x14ac:dyDescent="0.35">
      <c r="A45" s="5">
        <v>14</v>
      </c>
      <c r="B45" s="119" t="s">
        <v>81</v>
      </c>
      <c r="C45" s="120"/>
      <c r="D45" s="121"/>
      <c r="E45" s="20">
        <v>43186.19</v>
      </c>
    </row>
    <row r="46" spans="1:5" ht="24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1228369.53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1" zoomScaleNormal="100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7.5" customHeight="1" x14ac:dyDescent="0.3">
      <c r="A1" s="103" t="s">
        <v>25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130736.88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1084245.6000000001</v>
      </c>
      <c r="D4" s="36">
        <v>992031.62</v>
      </c>
      <c r="E4" s="18"/>
    </row>
    <row r="5" spans="1:5" ht="14.4" customHeight="1" x14ac:dyDescent="0.3">
      <c r="A5" s="101" t="s">
        <v>4</v>
      </c>
      <c r="B5" s="102"/>
      <c r="C5" s="35">
        <v>1120.02</v>
      </c>
      <c r="D5" s="36">
        <v>1020.67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946.98</v>
      </c>
      <c r="D7" s="36">
        <v>862.98</v>
      </c>
      <c r="E7" s="18"/>
    </row>
    <row r="8" spans="1:5" ht="14.4" customHeight="1" x14ac:dyDescent="0.3">
      <c r="A8" s="107" t="s">
        <v>7</v>
      </c>
      <c r="B8" s="108"/>
      <c r="C8" s="37">
        <v>11798.04</v>
      </c>
      <c r="D8" s="38">
        <v>10677.81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1098110.6400000001</v>
      </c>
      <c r="D9" s="40">
        <f t="shared" ref="D9" si="0">SUM(D4:D8)</f>
        <v>1004593.0800000001</v>
      </c>
      <c r="E9" s="40">
        <f>D9/C9*100</f>
        <v>91.483776170313774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224254.43999999994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.6" customHeight="1" thickBot="1" x14ac:dyDescent="0.35">
      <c r="A14" s="5">
        <v>1</v>
      </c>
      <c r="B14" s="113" t="s">
        <v>63</v>
      </c>
      <c r="C14" s="114"/>
      <c r="D14" s="115"/>
      <c r="E14" s="10">
        <v>344545.03</v>
      </c>
    </row>
    <row r="15" spans="1:5" ht="42.6" customHeight="1" thickBot="1" x14ac:dyDescent="0.35">
      <c r="A15" s="5">
        <v>2</v>
      </c>
      <c r="B15" s="116" t="s">
        <v>64</v>
      </c>
      <c r="C15" s="117"/>
      <c r="D15" s="118"/>
      <c r="E15" s="8">
        <v>87227.85</v>
      </c>
    </row>
    <row r="16" spans="1:5" ht="42.6" customHeight="1" x14ac:dyDescent="0.3">
      <c r="A16" s="26">
        <v>3</v>
      </c>
      <c r="B16" s="98" t="s">
        <v>65</v>
      </c>
      <c r="C16" s="99"/>
      <c r="D16" s="100"/>
      <c r="E16" s="46">
        <f>12995.73+E17+28689.31</f>
        <v>56938.570000000007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15253.53</v>
      </c>
    </row>
    <row r="18" spans="1:5" x14ac:dyDescent="0.3">
      <c r="A18" s="51"/>
      <c r="B18" s="82" t="s">
        <v>144</v>
      </c>
      <c r="C18" s="83"/>
      <c r="D18" s="84"/>
      <c r="E18" s="52">
        <v>15253.53</v>
      </c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19493.6+348903.81</f>
        <v>368397.41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18871.560000000001</v>
      </c>
    </row>
    <row r="29" spans="1:5" ht="28.95" customHeight="1" thickBot="1" x14ac:dyDescent="0.35">
      <c r="A29" s="28">
        <v>6</v>
      </c>
      <c r="B29" s="124" t="s">
        <v>69</v>
      </c>
      <c r="C29" s="125"/>
      <c r="D29" s="126"/>
      <c r="E29" s="57">
        <v>43200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4493.2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4493.2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29440.32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13862.4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86483.4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23086.53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35328.379999999997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29457.19</v>
      </c>
    </row>
    <row r="46" spans="1:5" ht="22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1141331.8399999999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style="2" customWidth="1"/>
    <col min="5" max="5" width="17.5546875" style="2" customWidth="1"/>
  </cols>
  <sheetData>
    <row r="1" spans="1:5" ht="39" customHeight="1" x14ac:dyDescent="0.3">
      <c r="A1" s="103" t="s">
        <v>26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106919.75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858403.13+121282.79</f>
        <v>979685.92</v>
      </c>
      <c r="D4" s="36">
        <f>771160.5+122038.28</f>
        <v>893198.78</v>
      </c>
      <c r="E4" s="18"/>
    </row>
    <row r="5" spans="1:5" ht="14.4" customHeight="1" x14ac:dyDescent="0.3">
      <c r="A5" s="101" t="s">
        <v>4</v>
      </c>
      <c r="B5" s="102"/>
      <c r="C5" s="35">
        <v>1158.67</v>
      </c>
      <c r="D5" s="36">
        <v>1032.6300000000001</v>
      </c>
      <c r="E5" s="18"/>
    </row>
    <row r="6" spans="1:5" ht="14.4" customHeight="1" x14ac:dyDescent="0.3">
      <c r="A6" s="101" t="s">
        <v>5</v>
      </c>
      <c r="B6" s="102"/>
      <c r="C6" s="35">
        <f>1172.79+4723.79</f>
        <v>5896.58</v>
      </c>
      <c r="D6" s="36">
        <f>1045.56+4205.25</f>
        <v>5250.8099999999995</v>
      </c>
      <c r="E6" s="18"/>
    </row>
    <row r="7" spans="1:5" ht="14.4" customHeight="1" x14ac:dyDescent="0.3">
      <c r="A7" s="101" t="s">
        <v>6</v>
      </c>
      <c r="B7" s="102"/>
      <c r="C7" s="35">
        <v>1958.68</v>
      </c>
      <c r="D7" s="36">
        <v>1746.43</v>
      </c>
      <c r="E7" s="18"/>
    </row>
    <row r="8" spans="1:5" ht="14.4" customHeight="1" x14ac:dyDescent="0.3">
      <c r="A8" s="107" t="s">
        <v>7</v>
      </c>
      <c r="B8" s="108"/>
      <c r="C8" s="37">
        <v>9384.5499999999993</v>
      </c>
      <c r="D8" s="38">
        <v>8301.59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998084.40000000014</v>
      </c>
      <c r="D9" s="40">
        <f t="shared" ref="D9" si="0">SUM(D4:D8)</f>
        <v>909530.24000000011</v>
      </c>
      <c r="E9" s="40">
        <f>D9/C9*100</f>
        <v>91.127588007587335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195473.91000000003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" customHeight="1" thickBot="1" x14ac:dyDescent="0.35">
      <c r="A14" s="5">
        <v>1</v>
      </c>
      <c r="B14" s="113" t="s">
        <v>63</v>
      </c>
      <c r="C14" s="114"/>
      <c r="D14" s="115"/>
      <c r="E14" s="10">
        <v>130849.78</v>
      </c>
    </row>
    <row r="15" spans="1:5" ht="42" customHeight="1" thickBot="1" x14ac:dyDescent="0.35">
      <c r="A15" s="5">
        <v>2</v>
      </c>
      <c r="B15" s="116" t="s">
        <v>64</v>
      </c>
      <c r="C15" s="117"/>
      <c r="D15" s="118"/>
      <c r="E15" s="8">
        <v>77123.14</v>
      </c>
    </row>
    <row r="16" spans="1:5" ht="42" customHeight="1" x14ac:dyDescent="0.3">
      <c r="A16" s="26">
        <v>3</v>
      </c>
      <c r="B16" s="98" t="s">
        <v>65</v>
      </c>
      <c r="C16" s="99"/>
      <c r="D16" s="100"/>
      <c r="E16" s="46">
        <f>11820.67+26095.26</f>
        <v>37915.93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2"/>
      <c r="C18" s="83"/>
      <c r="D18" s="84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17731.01+E23+317356.33</f>
        <v>340863.73000000004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5776.39</v>
      </c>
    </row>
    <row r="24" spans="1:5" x14ac:dyDescent="0.3">
      <c r="A24" s="51"/>
      <c r="B24" s="82" t="s">
        <v>100</v>
      </c>
      <c r="C24" s="83"/>
      <c r="D24" s="84"/>
      <c r="E24" s="52">
        <v>5776.39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13770.82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13680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348.1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251.5</v>
      </c>
    </row>
    <row r="39" spans="1:5" ht="15" thickBot="1" x14ac:dyDescent="0.35">
      <c r="A39" s="28"/>
      <c r="B39" s="136" t="s">
        <v>78</v>
      </c>
      <c r="C39" s="136"/>
      <c r="D39" s="136"/>
      <c r="E39" s="16">
        <v>96.6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25525.08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13169.28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78663.67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20999.08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32134.03</v>
      </c>
    </row>
    <row r="45" spans="1:5" ht="26.4" customHeight="1" thickBot="1" x14ac:dyDescent="0.35">
      <c r="A45" s="5">
        <v>14</v>
      </c>
      <c r="B45" s="119" t="s">
        <v>81</v>
      </c>
      <c r="C45" s="120"/>
      <c r="D45" s="121"/>
      <c r="E45" s="20">
        <v>46239.78</v>
      </c>
    </row>
    <row r="46" spans="1:5" ht="23.4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831282.42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" customHeight="1" x14ac:dyDescent="0.3">
      <c r="A1" s="103" t="s">
        <v>27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135901.79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1417484.04</v>
      </c>
      <c r="D4" s="36">
        <v>1346385.45</v>
      </c>
      <c r="E4" s="18"/>
    </row>
    <row r="5" spans="1:5" ht="14.4" customHeight="1" x14ac:dyDescent="0.3">
      <c r="A5" s="101" t="s">
        <v>4</v>
      </c>
      <c r="B5" s="102"/>
      <c r="C5" s="35">
        <v>2053.08</v>
      </c>
      <c r="D5" s="36">
        <v>1943.29</v>
      </c>
      <c r="E5" s="18"/>
    </row>
    <row r="6" spans="1:5" ht="14.4" customHeight="1" x14ac:dyDescent="0.3">
      <c r="A6" s="101" t="s">
        <v>5</v>
      </c>
      <c r="B6" s="102"/>
      <c r="C6" s="35">
        <f>2077.02+9071.6</f>
        <v>11148.62</v>
      </c>
      <c r="D6" s="36">
        <f>1966.83+8575.95</f>
        <v>10542.78</v>
      </c>
      <c r="E6" s="18"/>
    </row>
    <row r="7" spans="1:5" ht="14.4" customHeight="1" x14ac:dyDescent="0.3">
      <c r="A7" s="101" t="s">
        <v>6</v>
      </c>
      <c r="B7" s="102"/>
      <c r="C7" s="35">
        <v>3470.52</v>
      </c>
      <c r="D7" s="36">
        <v>3285.42</v>
      </c>
      <c r="E7" s="18"/>
    </row>
    <row r="8" spans="1:5" ht="14.4" customHeight="1" x14ac:dyDescent="0.3">
      <c r="A8" s="107" t="s">
        <v>7</v>
      </c>
      <c r="B8" s="108"/>
      <c r="C8" s="37">
        <v>16630.32</v>
      </c>
      <c r="D8" s="38">
        <v>15643.66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1450786.5800000003</v>
      </c>
      <c r="D9" s="40">
        <f t="shared" ref="D9" si="0">SUM(D4:D8)</f>
        <v>1377800.5999999999</v>
      </c>
      <c r="E9" s="40">
        <f>D9/C9*100</f>
        <v>94.969213183651007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208887.77000000048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194841.06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122956.33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16660.33+E17+36779.26</f>
        <v>973704.30999999994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920264.72</v>
      </c>
    </row>
    <row r="18" spans="1:5" x14ac:dyDescent="0.3">
      <c r="A18" s="51"/>
      <c r="B18" s="82" t="s">
        <v>84</v>
      </c>
      <c r="C18" s="83"/>
      <c r="D18" s="84"/>
      <c r="E18" s="52">
        <v>40013.949999999997</v>
      </c>
    </row>
    <row r="19" spans="1:5" x14ac:dyDescent="0.3">
      <c r="A19" s="51"/>
      <c r="B19" s="82" t="s">
        <v>86</v>
      </c>
      <c r="C19" s="122"/>
      <c r="D19" s="123"/>
      <c r="E19" s="52">
        <v>44475</v>
      </c>
    </row>
    <row r="20" spans="1:5" x14ac:dyDescent="0.3">
      <c r="A20" s="51"/>
      <c r="B20" s="82" t="s">
        <v>87</v>
      </c>
      <c r="C20" s="122"/>
      <c r="D20" s="123"/>
      <c r="E20" s="53">
        <f>119873.34+119112.68+119112.68</f>
        <v>358098.69999999995</v>
      </c>
    </row>
    <row r="21" spans="1:5" ht="15" thickBot="1" x14ac:dyDescent="0.35">
      <c r="A21" s="54"/>
      <c r="B21" s="146" t="s">
        <v>123</v>
      </c>
      <c r="C21" s="147"/>
      <c r="D21" s="148"/>
      <c r="E21" s="73">
        <v>477677.07</v>
      </c>
    </row>
    <row r="22" spans="1:5" ht="42" customHeight="1" x14ac:dyDescent="0.3">
      <c r="A22" s="29">
        <v>4</v>
      </c>
      <c r="B22" s="98" t="s">
        <v>67</v>
      </c>
      <c r="C22" s="99"/>
      <c r="D22" s="100"/>
      <c r="E22" s="46">
        <f>24990.5+447289.35</f>
        <v>472279.85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19071.82</v>
      </c>
    </row>
    <row r="29" spans="1:5" ht="27.6" customHeight="1" thickBot="1" x14ac:dyDescent="0.35">
      <c r="A29" s="28">
        <v>6</v>
      </c>
      <c r="B29" s="124" t="s">
        <v>69</v>
      </c>
      <c r="C29" s="125"/>
      <c r="D29" s="126"/>
      <c r="E29" s="57">
        <v>18000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0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6350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6350</v>
      </c>
    </row>
    <row r="39" spans="1:6" ht="15" thickBot="1" x14ac:dyDescent="0.35">
      <c r="A39" s="28"/>
      <c r="B39" s="136" t="s">
        <v>78</v>
      </c>
      <c r="C39" s="136"/>
      <c r="D39" s="136"/>
      <c r="E39" s="16">
        <v>0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37742.04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17328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110870.39999999999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29596.58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45290.45</v>
      </c>
    </row>
    <row r="45" spans="1:6" ht="26.4" customHeight="1" thickBot="1" x14ac:dyDescent="0.35">
      <c r="A45" s="5">
        <v>14</v>
      </c>
      <c r="B45" s="119" t="s">
        <v>81</v>
      </c>
      <c r="C45" s="120"/>
      <c r="D45" s="121"/>
      <c r="E45" s="20">
        <v>33302.54</v>
      </c>
      <c r="F45" s="74"/>
    </row>
    <row r="46" spans="1:6" ht="22.2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2081333.38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5" workbookViewId="0">
      <selection activeCell="E46" sqref="E46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.75" customHeight="1" x14ac:dyDescent="0.3">
      <c r="A1" s="103" t="s">
        <v>28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106446.17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1061850.8400000001</v>
      </c>
      <c r="D4" s="36">
        <v>953490.63</v>
      </c>
      <c r="E4" s="18"/>
    </row>
    <row r="5" spans="1:5" ht="14.4" customHeight="1" x14ac:dyDescent="0.3">
      <c r="A5" s="101" t="s">
        <v>4</v>
      </c>
      <c r="B5" s="102"/>
      <c r="C5" s="35">
        <v>1513.2</v>
      </c>
      <c r="D5" s="36">
        <v>1352.26</v>
      </c>
      <c r="E5" s="18"/>
    </row>
    <row r="6" spans="1:5" ht="14.4" customHeight="1" x14ac:dyDescent="0.3">
      <c r="A6" s="101" t="s">
        <v>5</v>
      </c>
      <c r="B6" s="102"/>
      <c r="C6" s="35">
        <f>1530.66+6686.22</f>
        <v>8216.880000000001</v>
      </c>
      <c r="D6" s="36">
        <f>1368.41+5966.24</f>
        <v>7334.65</v>
      </c>
      <c r="E6" s="18"/>
    </row>
    <row r="7" spans="1:5" ht="14.4" customHeight="1" x14ac:dyDescent="0.3">
      <c r="A7" s="101" t="s">
        <v>6</v>
      </c>
      <c r="B7" s="102"/>
      <c r="C7" s="35">
        <v>2558.16</v>
      </c>
      <c r="D7" s="36">
        <v>2285.92</v>
      </c>
      <c r="E7" s="18"/>
    </row>
    <row r="8" spans="1:5" ht="14.4" customHeight="1" x14ac:dyDescent="0.3">
      <c r="A8" s="107" t="s">
        <v>7</v>
      </c>
      <c r="B8" s="108"/>
      <c r="C8" s="37">
        <v>12257.58</v>
      </c>
      <c r="D8" s="38">
        <v>10879.29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1086396.6599999999</v>
      </c>
      <c r="D9" s="40">
        <f t="shared" ref="D9" si="0">SUM(D4:D8)</f>
        <v>975342.75000000012</v>
      </c>
      <c r="E9" s="40">
        <f>D9/C9*100</f>
        <v>89.777775089993398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217500.07999999973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110701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90627.56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10393.1+E17+22943.75</f>
        <v>1081447.6100000001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1048110.76</v>
      </c>
    </row>
    <row r="18" spans="1:5" x14ac:dyDescent="0.3">
      <c r="A18" s="51"/>
      <c r="B18" s="82" t="s">
        <v>92</v>
      </c>
      <c r="C18" s="83"/>
      <c r="D18" s="84"/>
      <c r="E18" s="52">
        <v>1048110.76</v>
      </c>
    </row>
    <row r="19" spans="1:5" x14ac:dyDescent="0.3">
      <c r="A19" s="51"/>
      <c r="B19" s="82"/>
      <c r="C19" s="122"/>
      <c r="D19" s="123"/>
      <c r="E19" s="52"/>
    </row>
    <row r="20" spans="1:5" x14ac:dyDescent="0.3">
      <c r="A20" s="51"/>
      <c r="B20" s="79"/>
      <c r="C20" s="80"/>
      <c r="D20" s="81"/>
      <c r="E20" s="53"/>
    </row>
    <row r="21" spans="1:5" ht="15" thickBot="1" x14ac:dyDescent="0.35">
      <c r="A21" s="54"/>
      <c r="B21" s="95"/>
      <c r="C21" s="96"/>
      <c r="D21" s="97"/>
      <c r="E21" s="55"/>
    </row>
    <row r="22" spans="1:5" ht="40.200000000000003" customHeight="1" x14ac:dyDescent="0.3">
      <c r="A22" s="29">
        <v>4</v>
      </c>
      <c r="B22" s="98" t="s">
        <v>67</v>
      </c>
      <c r="C22" s="99"/>
      <c r="D22" s="100"/>
      <c r="E22" s="46">
        <f>15589.65+279029.47</f>
        <v>294619.12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12180.52</v>
      </c>
    </row>
    <row r="29" spans="1:5" ht="27.6" customHeight="1" thickBot="1" x14ac:dyDescent="0.35">
      <c r="A29" s="28">
        <v>6</v>
      </c>
      <c r="B29" s="124" t="s">
        <v>69</v>
      </c>
      <c r="C29" s="125"/>
      <c r="D29" s="126"/>
      <c r="E29" s="57">
        <v>10800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0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12660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4254</v>
      </c>
    </row>
    <row r="39" spans="1:6" ht="15" thickBot="1" x14ac:dyDescent="0.35">
      <c r="A39" s="28"/>
      <c r="B39" s="136" t="s">
        <v>78</v>
      </c>
      <c r="C39" s="136"/>
      <c r="D39" s="136"/>
      <c r="E39" s="16">
        <v>8406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23544.36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10396.799999999999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69163.520000000004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18463.03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28253.23</v>
      </c>
    </row>
    <row r="45" spans="1:6" ht="26.4" customHeight="1" thickBot="1" x14ac:dyDescent="0.35">
      <c r="A45" s="5">
        <v>14</v>
      </c>
      <c r="B45" s="119" t="s">
        <v>81</v>
      </c>
      <c r="C45" s="120"/>
      <c r="D45" s="121"/>
      <c r="E45" s="20">
        <v>29048.07</v>
      </c>
      <c r="F45" s="74"/>
    </row>
    <row r="46" spans="1:6" ht="23.4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1791904.8200000003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9" workbookViewId="0">
      <selection activeCell="F45" sqref="F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.75" customHeight="1" x14ac:dyDescent="0.3">
      <c r="A1" s="103" t="s">
        <v>29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89535.81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810910.2+136368.42</f>
        <v>947278.62</v>
      </c>
      <c r="D4" s="36">
        <f>700156.67+123042.36</f>
        <v>823199.03</v>
      </c>
      <c r="E4" s="18"/>
    </row>
    <row r="5" spans="1:5" ht="14.4" customHeight="1" x14ac:dyDescent="0.3">
      <c r="A5" s="101" t="s">
        <v>4</v>
      </c>
      <c r="B5" s="102"/>
      <c r="C5" s="35">
        <v>832.14</v>
      </c>
      <c r="D5" s="36">
        <v>715.87</v>
      </c>
      <c r="E5" s="18"/>
    </row>
    <row r="6" spans="1:5" ht="14.4" customHeight="1" x14ac:dyDescent="0.3">
      <c r="A6" s="101" t="s">
        <v>5</v>
      </c>
      <c r="B6" s="102"/>
      <c r="C6" s="35">
        <f>842.46+3393.66</f>
        <v>4236.12</v>
      </c>
      <c r="D6" s="36">
        <f>724.83+2914.67</f>
        <v>3639.5</v>
      </c>
      <c r="E6" s="18"/>
    </row>
    <row r="7" spans="1:5" ht="14.4" customHeight="1" x14ac:dyDescent="0.3">
      <c r="A7" s="101" t="s">
        <v>6</v>
      </c>
      <c r="B7" s="102"/>
      <c r="C7" s="35">
        <v>1406.7</v>
      </c>
      <c r="D7" s="36">
        <v>1210.03</v>
      </c>
      <c r="E7" s="18"/>
    </row>
    <row r="8" spans="1:5" ht="14.4" customHeight="1" x14ac:dyDescent="0.3">
      <c r="A8" s="107" t="s">
        <v>7</v>
      </c>
      <c r="B8" s="108"/>
      <c r="C8" s="37">
        <v>6741.84</v>
      </c>
      <c r="D8" s="38">
        <v>5760.13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960495.41999999993</v>
      </c>
      <c r="D9" s="40">
        <f t="shared" ref="D9" si="0">SUM(D4:D8)</f>
        <v>834524.56</v>
      </c>
      <c r="E9" s="40">
        <f>D9/C9*100</f>
        <v>86.884803677668771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215506.66999999993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4.4" customHeight="1" thickBot="1" x14ac:dyDescent="0.35">
      <c r="A14" s="5">
        <v>1</v>
      </c>
      <c r="B14" s="113" t="s">
        <v>63</v>
      </c>
      <c r="C14" s="114"/>
      <c r="D14" s="115"/>
      <c r="E14" s="10">
        <v>123951.06</v>
      </c>
    </row>
    <row r="15" spans="1:5" ht="44.4" customHeight="1" thickBot="1" x14ac:dyDescent="0.35">
      <c r="A15" s="5">
        <v>2</v>
      </c>
      <c r="B15" s="116" t="s">
        <v>64</v>
      </c>
      <c r="C15" s="117"/>
      <c r="D15" s="118"/>
      <c r="E15" s="8">
        <v>61950.35</v>
      </c>
    </row>
    <row r="16" spans="1:5" ht="44.4" customHeight="1" x14ac:dyDescent="0.3">
      <c r="A16" s="26">
        <v>3</v>
      </c>
      <c r="B16" s="98" t="s">
        <v>65</v>
      </c>
      <c r="C16" s="99"/>
      <c r="D16" s="100"/>
      <c r="E16" s="46">
        <f>11844.78+E17+26148.46</f>
        <v>41274.57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3281.33</v>
      </c>
    </row>
    <row r="18" spans="1:5" x14ac:dyDescent="0.3">
      <c r="A18" s="51"/>
      <c r="B18" s="82" t="s">
        <v>113</v>
      </c>
      <c r="C18" s="83"/>
      <c r="D18" s="84"/>
      <c r="E18" s="52">
        <v>3281.33</v>
      </c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2.6" customHeight="1" x14ac:dyDescent="0.3">
      <c r="A22" s="29">
        <v>4</v>
      </c>
      <c r="B22" s="98" t="s">
        <v>67</v>
      </c>
      <c r="C22" s="99"/>
      <c r="D22" s="100"/>
      <c r="E22" s="46">
        <f>17767.16+318003.41</f>
        <v>335770.56999999995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13170.04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11520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0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6.4" customHeight="1" x14ac:dyDescent="0.3">
      <c r="A36" s="26">
        <v>8</v>
      </c>
      <c r="B36" s="98" t="s">
        <v>76</v>
      </c>
      <c r="C36" s="99"/>
      <c r="D36" s="100"/>
      <c r="E36" s="58">
        <f>SUM(E38:E39)</f>
        <v>246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246</v>
      </c>
    </row>
    <row r="39" spans="1:6" ht="15" thickBot="1" x14ac:dyDescent="0.35">
      <c r="A39" s="28"/>
      <c r="B39" s="136" t="s">
        <v>78</v>
      </c>
      <c r="C39" s="136"/>
      <c r="D39" s="136"/>
      <c r="E39" s="16">
        <v>0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21590.52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11089.92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78824.06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21041.89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32199.55</v>
      </c>
    </row>
    <row r="45" spans="1:6" ht="27.6" customHeight="1" thickBot="1" x14ac:dyDescent="0.35">
      <c r="A45" s="5">
        <v>14</v>
      </c>
      <c r="B45" s="119" t="s">
        <v>81</v>
      </c>
      <c r="C45" s="120"/>
      <c r="D45" s="121"/>
      <c r="E45" s="20">
        <v>16419.12</v>
      </c>
      <c r="F45" s="74"/>
    </row>
    <row r="46" spans="1:6" ht="23.4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769047.65000000014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workbookViewId="0">
      <selection activeCell="J51" sqref="J51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7.5" customHeight="1" x14ac:dyDescent="0.3">
      <c r="A1" s="103" t="s">
        <v>30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541475.17000000004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5157133.44+15794.74</f>
        <v>5172928.1800000006</v>
      </c>
      <c r="D4" s="36">
        <f>5047929.12+21869.64</f>
        <v>5069798.76</v>
      </c>
      <c r="E4" s="18"/>
    </row>
    <row r="5" spans="1:5" ht="14.4" customHeight="1" x14ac:dyDescent="0.3">
      <c r="A5" s="101" t="s">
        <v>4</v>
      </c>
      <c r="B5" s="102"/>
      <c r="C5" s="35">
        <v>10829.22</v>
      </c>
      <c r="D5" s="36">
        <v>10562.53</v>
      </c>
      <c r="E5" s="18"/>
    </row>
    <row r="6" spans="1:5" ht="14.4" customHeight="1" x14ac:dyDescent="0.3">
      <c r="A6" s="101" t="s">
        <v>5</v>
      </c>
      <c r="B6" s="102"/>
      <c r="C6" s="35">
        <f>10955.4+47887.96</f>
        <v>58843.360000000001</v>
      </c>
      <c r="D6" s="36">
        <f>10689.08+46643.62</f>
        <v>57332.700000000004</v>
      </c>
      <c r="E6" s="18"/>
    </row>
    <row r="7" spans="1:5" ht="14.4" customHeight="1" x14ac:dyDescent="0.3">
      <c r="A7" s="101" t="s">
        <v>6</v>
      </c>
      <c r="B7" s="102"/>
      <c r="C7" s="35">
        <v>18306.36</v>
      </c>
      <c r="D7" s="36">
        <v>17855.66</v>
      </c>
      <c r="E7" s="18"/>
    </row>
    <row r="8" spans="1:5" ht="14.4" customHeight="1" x14ac:dyDescent="0.3">
      <c r="A8" s="107" t="s">
        <v>7</v>
      </c>
      <c r="B8" s="108"/>
      <c r="C8" s="37">
        <v>448829.19</v>
      </c>
      <c r="D8" s="38">
        <v>435114.36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5709736.3100000015</v>
      </c>
      <c r="D9" s="40">
        <f t="shared" ref="D9" si="0">SUM(D4:D8)</f>
        <v>5590664.0100000007</v>
      </c>
      <c r="E9" s="40">
        <f>D9/C9*100</f>
        <v>97.914574447309263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660547.47000000067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4.4" customHeight="1" thickBot="1" x14ac:dyDescent="0.35">
      <c r="A14" s="5">
        <v>1</v>
      </c>
      <c r="B14" s="113" t="s">
        <v>63</v>
      </c>
      <c r="C14" s="114"/>
      <c r="D14" s="115"/>
      <c r="E14" s="10">
        <v>182759.61</v>
      </c>
    </row>
    <row r="15" spans="1:5" ht="44.4" customHeight="1" thickBot="1" x14ac:dyDescent="0.35">
      <c r="A15" s="5">
        <v>2</v>
      </c>
      <c r="B15" s="116" t="s">
        <v>64</v>
      </c>
      <c r="C15" s="117"/>
      <c r="D15" s="118"/>
      <c r="E15" s="8">
        <v>704401.87</v>
      </c>
    </row>
    <row r="16" spans="1:5" ht="44.4" customHeight="1" x14ac:dyDescent="0.3">
      <c r="A16" s="26">
        <v>3</v>
      </c>
      <c r="B16" s="98" t="s">
        <v>65</v>
      </c>
      <c r="C16" s="99"/>
      <c r="D16" s="100"/>
      <c r="E16" s="46">
        <f>47808.86+E17+105542.58</f>
        <v>4114570.0399999996</v>
      </c>
    </row>
    <row r="17" spans="1:5" x14ac:dyDescent="0.3">
      <c r="A17" s="27"/>
      <c r="B17" s="47" t="s">
        <v>66</v>
      </c>
      <c r="C17" s="48"/>
      <c r="D17" s="49"/>
      <c r="E17" s="50">
        <f>SUM(E18:E23)</f>
        <v>3961218.5999999996</v>
      </c>
    </row>
    <row r="18" spans="1:5" x14ac:dyDescent="0.3">
      <c r="A18" s="51"/>
      <c r="B18" s="82" t="s">
        <v>88</v>
      </c>
      <c r="C18" s="83"/>
      <c r="D18" s="84"/>
      <c r="E18" s="52">
        <v>394999.98</v>
      </c>
    </row>
    <row r="19" spans="1:5" x14ac:dyDescent="0.3">
      <c r="A19" s="51"/>
      <c r="B19" s="82" t="s">
        <v>89</v>
      </c>
      <c r="C19" s="122"/>
      <c r="D19" s="123"/>
      <c r="E19" s="52">
        <v>636598</v>
      </c>
    </row>
    <row r="20" spans="1:5" x14ac:dyDescent="0.3">
      <c r="A20" s="51"/>
      <c r="B20" s="79" t="s">
        <v>122</v>
      </c>
      <c r="C20" s="80"/>
      <c r="D20" s="81"/>
      <c r="E20" s="53">
        <f>1141517.9+1053476.32</f>
        <v>2194994.2199999997</v>
      </c>
    </row>
    <row r="21" spans="1:5" x14ac:dyDescent="0.3">
      <c r="A21" s="51"/>
      <c r="B21" s="79" t="s">
        <v>136</v>
      </c>
      <c r="C21" s="80"/>
      <c r="D21" s="81"/>
      <c r="E21" s="52">
        <v>708204.07</v>
      </c>
    </row>
    <row r="22" spans="1:5" x14ac:dyDescent="0.3">
      <c r="A22" s="51"/>
      <c r="B22" s="79" t="s">
        <v>142</v>
      </c>
      <c r="C22" s="80"/>
      <c r="D22" s="81"/>
      <c r="E22" s="52">
        <v>2982.84</v>
      </c>
    </row>
    <row r="23" spans="1:5" ht="15" thickBot="1" x14ac:dyDescent="0.35">
      <c r="A23" s="54"/>
      <c r="B23" s="149" t="s">
        <v>134</v>
      </c>
      <c r="C23" s="150"/>
      <c r="D23" s="151"/>
      <c r="E23" s="73">
        <v>23439.49</v>
      </c>
    </row>
    <row r="24" spans="1:5" ht="41.4" customHeight="1" x14ac:dyDescent="0.3">
      <c r="A24" s="29">
        <v>4</v>
      </c>
      <c r="B24" s="98" t="s">
        <v>67</v>
      </c>
      <c r="C24" s="99"/>
      <c r="D24" s="100"/>
      <c r="E24" s="46">
        <f>71713.29+E25+1283551.51</f>
        <v>1396102.68</v>
      </c>
    </row>
    <row r="25" spans="1:5" ht="15" customHeight="1" x14ac:dyDescent="0.3">
      <c r="A25" s="27"/>
      <c r="B25" s="47" t="s">
        <v>66</v>
      </c>
      <c r="C25" s="48"/>
      <c r="D25" s="49"/>
      <c r="E25" s="50">
        <f>SUM(E26:E27)</f>
        <v>40837.880000000005</v>
      </c>
    </row>
    <row r="26" spans="1:5" ht="15" customHeight="1" x14ac:dyDescent="0.3">
      <c r="A26" s="51"/>
      <c r="B26" s="82" t="s">
        <v>96</v>
      </c>
      <c r="C26" s="83"/>
      <c r="D26" s="84"/>
      <c r="E26" s="52">
        <v>37442.65</v>
      </c>
    </row>
    <row r="27" spans="1:5" ht="15" thickBot="1" x14ac:dyDescent="0.35">
      <c r="A27" s="51"/>
      <c r="B27" s="82" t="s">
        <v>103</v>
      </c>
      <c r="C27" s="122"/>
      <c r="D27" s="123"/>
      <c r="E27" s="52">
        <v>3395.23</v>
      </c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35104.39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45180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329419.76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329345.76</v>
      </c>
    </row>
    <row r="33" spans="1:5" x14ac:dyDescent="0.3">
      <c r="A33" s="61"/>
      <c r="B33" s="127" t="s">
        <v>73</v>
      </c>
      <c r="C33" s="127"/>
      <c r="D33" s="127"/>
      <c r="E33" s="13">
        <v>0</v>
      </c>
    </row>
    <row r="34" spans="1:5" ht="14.4" customHeight="1" x14ac:dyDescent="0.3">
      <c r="A34" s="30"/>
      <c r="B34" s="133" t="s">
        <v>74</v>
      </c>
      <c r="C34" s="134"/>
      <c r="D34" s="135"/>
      <c r="E34" s="13">
        <v>74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74037.3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12221.7</v>
      </c>
    </row>
    <row r="39" spans="1:5" ht="15" thickBot="1" x14ac:dyDescent="0.35">
      <c r="A39" s="28"/>
      <c r="B39" s="136" t="s">
        <v>78</v>
      </c>
      <c r="C39" s="136"/>
      <c r="D39" s="136"/>
      <c r="E39" s="16">
        <v>61815.6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108018.96</v>
      </c>
    </row>
    <row r="41" spans="1:5" ht="14.4" customHeight="1" thickBot="1" x14ac:dyDescent="0.35">
      <c r="A41" s="9">
        <v>10</v>
      </c>
      <c r="B41" s="76" t="s">
        <v>11</v>
      </c>
      <c r="C41" s="77"/>
      <c r="D41" s="78"/>
      <c r="E41" s="17">
        <v>43666.559999999998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318156.15999999997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84931.01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129966.48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549060.48</v>
      </c>
    </row>
    <row r="46" spans="1:5" ht="24" customHeight="1" thickBot="1" x14ac:dyDescent="0.35">
      <c r="A46" s="28">
        <v>15</v>
      </c>
      <c r="B46" s="63" t="s">
        <v>82</v>
      </c>
      <c r="C46" s="64"/>
      <c r="D46" s="64"/>
      <c r="E46" s="8">
        <f>E14+E15+E16+E24+E28+E29+E30+E36+E40+E41+E42+E43+E44+E45</f>
        <v>8115375.2999999989</v>
      </c>
    </row>
  </sheetData>
  <mergeCells count="39"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18:D18"/>
    <mergeCell ref="B19:D19"/>
    <mergeCell ref="B20:D20"/>
    <mergeCell ref="B23:D23"/>
    <mergeCell ref="B27:D27"/>
    <mergeCell ref="B24:D24"/>
    <mergeCell ref="B26:D26"/>
    <mergeCell ref="B21:D21"/>
    <mergeCell ref="B22:D22"/>
    <mergeCell ref="B45:D45"/>
    <mergeCell ref="B28:D28"/>
    <mergeCell ref="B29:D29"/>
    <mergeCell ref="B33:D33"/>
    <mergeCell ref="B40:D40"/>
    <mergeCell ref="B42:D42"/>
    <mergeCell ref="B30:D30"/>
    <mergeCell ref="B32:D32"/>
    <mergeCell ref="B34:D34"/>
    <mergeCell ref="B35:D35"/>
    <mergeCell ref="B36:D36"/>
    <mergeCell ref="B38:D38"/>
    <mergeCell ref="B39:D39"/>
    <mergeCell ref="B41:D41"/>
    <mergeCell ref="B43:D43"/>
    <mergeCell ref="B44:D4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2" workbookViewId="0">
      <selection activeCell="F45" sqref="F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42" customHeight="1" x14ac:dyDescent="0.3">
      <c r="A1" s="103" t="s">
        <v>31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273761.8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2557592.52</v>
      </c>
      <c r="D4" s="36">
        <v>2405509.5</v>
      </c>
      <c r="E4" s="18"/>
    </row>
    <row r="5" spans="1:5" ht="14.4" customHeight="1" x14ac:dyDescent="0.3">
      <c r="A5" s="101" t="s">
        <v>4</v>
      </c>
      <c r="B5" s="102"/>
      <c r="C5" s="35">
        <v>5824.74</v>
      </c>
      <c r="D5" s="36">
        <v>5457.56</v>
      </c>
      <c r="E5" s="18"/>
    </row>
    <row r="6" spans="1:5" ht="14.4" customHeight="1" x14ac:dyDescent="0.3">
      <c r="A6" s="101" t="s">
        <v>5</v>
      </c>
      <c r="B6" s="102"/>
      <c r="C6" s="35">
        <f>5893.74+25761.08</f>
        <v>31654.82</v>
      </c>
      <c r="D6" s="36">
        <f>5524.37+24101.47</f>
        <v>29625.84</v>
      </c>
      <c r="E6" s="18"/>
    </row>
    <row r="7" spans="1:5" ht="14.4" customHeight="1" x14ac:dyDescent="0.3">
      <c r="A7" s="101" t="s">
        <v>6</v>
      </c>
      <c r="B7" s="102"/>
      <c r="C7" s="35">
        <v>9846.42</v>
      </c>
      <c r="D7" s="36">
        <v>9225.9699999999993</v>
      </c>
      <c r="E7" s="18"/>
    </row>
    <row r="8" spans="1:5" ht="14.4" customHeight="1" x14ac:dyDescent="0.3">
      <c r="A8" s="107" t="s">
        <v>7</v>
      </c>
      <c r="B8" s="108"/>
      <c r="C8" s="37">
        <v>241427.82</v>
      </c>
      <c r="D8" s="38">
        <v>224677.66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2846346.32</v>
      </c>
      <c r="D9" s="40">
        <f t="shared" ref="D9" si="0">SUM(D4:D8)</f>
        <v>2674496.5300000003</v>
      </c>
      <c r="E9" s="40">
        <f>D9/C9*100</f>
        <v>93.962442700928975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445611.58999999939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" customHeight="1" thickBot="1" x14ac:dyDescent="0.35">
      <c r="A14" s="5">
        <v>1</v>
      </c>
      <c r="B14" s="113" t="s">
        <v>63</v>
      </c>
      <c r="C14" s="114"/>
      <c r="D14" s="115"/>
      <c r="E14" s="10">
        <v>194765.47</v>
      </c>
    </row>
    <row r="15" spans="1:5" ht="42" customHeight="1" thickBot="1" x14ac:dyDescent="0.35">
      <c r="A15" s="5">
        <v>2</v>
      </c>
      <c r="B15" s="116" t="s">
        <v>64</v>
      </c>
      <c r="C15" s="117"/>
      <c r="D15" s="118"/>
      <c r="E15" s="8">
        <v>420777.58</v>
      </c>
    </row>
    <row r="16" spans="1:5" ht="42" customHeight="1" x14ac:dyDescent="0.3">
      <c r="A16" s="26">
        <v>3</v>
      </c>
      <c r="B16" s="98" t="s">
        <v>65</v>
      </c>
      <c r="C16" s="99"/>
      <c r="D16" s="100"/>
      <c r="E16" s="46">
        <f>26330.38+E17+58126.8</f>
        <v>337428.75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252971.57</v>
      </c>
    </row>
    <row r="18" spans="1:5" x14ac:dyDescent="0.3">
      <c r="A18" s="51"/>
      <c r="B18" s="82" t="s">
        <v>117</v>
      </c>
      <c r="C18" s="83"/>
      <c r="D18" s="84"/>
      <c r="E18" s="52">
        <v>12000</v>
      </c>
    </row>
    <row r="19" spans="1:5" x14ac:dyDescent="0.3">
      <c r="A19" s="51"/>
      <c r="B19" s="82" t="s">
        <v>126</v>
      </c>
      <c r="C19" s="122"/>
      <c r="D19" s="123"/>
      <c r="E19" s="52">
        <v>240971.57</v>
      </c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39495.57+E23+706906.52</f>
        <v>826154.22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79752.13</v>
      </c>
    </row>
    <row r="24" spans="1:5" x14ac:dyDescent="0.3">
      <c r="A24" s="51"/>
      <c r="B24" s="82" t="s">
        <v>96</v>
      </c>
      <c r="C24" s="83"/>
      <c r="D24" s="84"/>
      <c r="E24" s="52">
        <v>19052.68</v>
      </c>
    </row>
    <row r="25" spans="1:5" x14ac:dyDescent="0.3">
      <c r="A25" s="51"/>
      <c r="B25" s="82" t="s">
        <v>104</v>
      </c>
      <c r="C25" s="122"/>
      <c r="D25" s="123"/>
      <c r="E25" s="52">
        <v>60699.45</v>
      </c>
    </row>
    <row r="26" spans="1:5" x14ac:dyDescent="0.3">
      <c r="A26" s="51"/>
      <c r="B26" s="79"/>
      <c r="C26" s="80"/>
      <c r="D26" s="81"/>
      <c r="E26" s="53"/>
    </row>
    <row r="27" spans="1:5" ht="15" thickBot="1" x14ac:dyDescent="0.35">
      <c r="A27" s="56"/>
      <c r="B27" s="152"/>
      <c r="C27" s="153"/>
      <c r="D27" s="15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17469.72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22500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172321.72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164672.88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7574.84</v>
      </c>
    </row>
    <row r="34" spans="1:6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8.2" customHeight="1" x14ac:dyDescent="0.3">
      <c r="A36" s="26">
        <v>8</v>
      </c>
      <c r="B36" s="98" t="s">
        <v>76</v>
      </c>
      <c r="C36" s="99"/>
      <c r="D36" s="100"/>
      <c r="E36" s="58">
        <f>SUM(E38:E39)</f>
        <v>3832.8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2866.8</v>
      </c>
    </row>
    <row r="39" spans="1:6" ht="15" thickBot="1" x14ac:dyDescent="0.35">
      <c r="A39" s="28"/>
      <c r="B39" s="136" t="s">
        <v>78</v>
      </c>
      <c r="C39" s="136"/>
      <c r="D39" s="136"/>
      <c r="E39" s="16">
        <v>966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53570.15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21660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175222.16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46775.13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71578.080000000002</v>
      </c>
    </row>
    <row r="45" spans="1:6" ht="26.4" customHeight="1" thickBot="1" x14ac:dyDescent="0.35">
      <c r="A45" s="5">
        <v>14</v>
      </c>
      <c r="B45" s="119" t="s">
        <v>81</v>
      </c>
      <c r="C45" s="120"/>
      <c r="D45" s="121"/>
      <c r="E45" s="20">
        <v>321524.64</v>
      </c>
      <c r="F45" s="74"/>
    </row>
    <row r="46" spans="1:6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2685580.42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40.5" customHeight="1" x14ac:dyDescent="0.3">
      <c r="A1" s="103" t="s">
        <v>32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278934.92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3141344.76</v>
      </c>
      <c r="D4" s="36">
        <v>3034971.28</v>
      </c>
      <c r="E4" s="18"/>
    </row>
    <row r="5" spans="1:5" ht="14.4" customHeight="1" x14ac:dyDescent="0.3">
      <c r="A5" s="101" t="s">
        <v>4</v>
      </c>
      <c r="B5" s="102"/>
      <c r="C5" s="35">
        <v>4365.3</v>
      </c>
      <c r="D5" s="36">
        <v>4203.33</v>
      </c>
      <c r="E5" s="18"/>
    </row>
    <row r="6" spans="1:5" ht="14.4" customHeight="1" x14ac:dyDescent="0.3">
      <c r="A6" s="101" t="s">
        <v>5</v>
      </c>
      <c r="B6" s="102"/>
      <c r="C6" s="35">
        <f>4365.3+19307.86</f>
        <v>23673.16</v>
      </c>
      <c r="D6" s="36">
        <f>4203.33+18567.22</f>
        <v>22770.550000000003</v>
      </c>
      <c r="E6" s="18"/>
    </row>
    <row r="7" spans="1:5" ht="14.4" customHeight="1" x14ac:dyDescent="0.3">
      <c r="A7" s="101" t="s">
        <v>6</v>
      </c>
      <c r="B7" s="102"/>
      <c r="C7" s="35">
        <v>7379.94</v>
      </c>
      <c r="D7" s="36">
        <v>7105.86</v>
      </c>
      <c r="E7" s="18"/>
    </row>
    <row r="8" spans="1:5" ht="14.4" customHeight="1" x14ac:dyDescent="0.3">
      <c r="A8" s="107" t="s">
        <v>7</v>
      </c>
      <c r="B8" s="108"/>
      <c r="C8" s="37">
        <v>180966.72</v>
      </c>
      <c r="D8" s="38">
        <v>173125.46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3357729.88</v>
      </c>
      <c r="D9" s="40">
        <f t="shared" ref="D9" si="0">SUM(D4:D8)</f>
        <v>3242176.4799999995</v>
      </c>
      <c r="E9" s="40">
        <f>D9/C9*100</f>
        <v>96.558585588189118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394488.3200000003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2" customHeight="1" thickBot="1" x14ac:dyDescent="0.35">
      <c r="A14" s="5">
        <v>1</v>
      </c>
      <c r="B14" s="113" t="s">
        <v>63</v>
      </c>
      <c r="C14" s="114"/>
      <c r="D14" s="115"/>
      <c r="E14" s="10">
        <v>138174.24</v>
      </c>
    </row>
    <row r="15" spans="1:5" ht="43.2" customHeight="1" thickBot="1" x14ac:dyDescent="0.35">
      <c r="A15" s="5">
        <v>2</v>
      </c>
      <c r="B15" s="116" t="s">
        <v>64</v>
      </c>
      <c r="C15" s="117"/>
      <c r="D15" s="118"/>
      <c r="E15" s="8">
        <v>284442.75</v>
      </c>
    </row>
    <row r="16" spans="1:5" ht="43.2" customHeight="1" x14ac:dyDescent="0.3">
      <c r="A16" s="26">
        <v>3</v>
      </c>
      <c r="B16" s="98" t="s">
        <v>65</v>
      </c>
      <c r="C16" s="99"/>
      <c r="D16" s="100"/>
      <c r="E16" s="46">
        <f>29165.5+E17+64385.6</f>
        <v>1164389.53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1070838.43</v>
      </c>
    </row>
    <row r="18" spans="1:5" x14ac:dyDescent="0.3">
      <c r="A18" s="51"/>
      <c r="B18" s="82" t="s">
        <v>118</v>
      </c>
      <c r="C18" s="83"/>
      <c r="D18" s="84"/>
      <c r="E18" s="52">
        <v>400244.11</v>
      </c>
    </row>
    <row r="19" spans="1:5" x14ac:dyDescent="0.3">
      <c r="A19" s="51"/>
      <c r="B19" s="82" t="s">
        <v>113</v>
      </c>
      <c r="C19" s="122"/>
      <c r="D19" s="123"/>
      <c r="E19" s="52">
        <v>251702.75</v>
      </c>
    </row>
    <row r="20" spans="1:5" x14ac:dyDescent="0.3">
      <c r="A20" s="51"/>
      <c r="B20" s="82" t="s">
        <v>124</v>
      </c>
      <c r="C20" s="122"/>
      <c r="D20" s="123"/>
      <c r="E20" s="53">
        <v>179355.96</v>
      </c>
    </row>
    <row r="21" spans="1:5" ht="15" thickBot="1" x14ac:dyDescent="0.35">
      <c r="A21" s="54"/>
      <c r="B21" s="146" t="s">
        <v>130</v>
      </c>
      <c r="C21" s="147"/>
      <c r="D21" s="148"/>
      <c r="E21" s="73">
        <v>239535.61</v>
      </c>
    </row>
    <row r="22" spans="1:5" ht="39.6" customHeight="1" x14ac:dyDescent="0.3">
      <c r="A22" s="29">
        <v>4</v>
      </c>
      <c r="B22" s="98" t="s">
        <v>67</v>
      </c>
      <c r="C22" s="99"/>
      <c r="D22" s="100"/>
      <c r="E22" s="46">
        <f>43748.25+E23+783022.67</f>
        <v>916030.38000000012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89259.46</v>
      </c>
    </row>
    <row r="24" spans="1:5" x14ac:dyDescent="0.3">
      <c r="A24" s="51"/>
      <c r="B24" s="82" t="s">
        <v>96</v>
      </c>
      <c r="C24" s="83"/>
      <c r="D24" s="84"/>
      <c r="E24" s="52">
        <v>19699.490000000002</v>
      </c>
    </row>
    <row r="25" spans="1:5" x14ac:dyDescent="0.3">
      <c r="A25" s="51"/>
      <c r="B25" s="143" t="s">
        <v>106</v>
      </c>
      <c r="C25" s="144"/>
      <c r="D25" s="145"/>
      <c r="E25" s="52">
        <f>29382.97+40177</f>
        <v>69559.97</v>
      </c>
    </row>
    <row r="26" spans="1:5" x14ac:dyDescent="0.3">
      <c r="A26" s="51"/>
      <c r="B26" s="79"/>
      <c r="C26" s="80"/>
      <c r="D26" s="81"/>
      <c r="E26" s="53"/>
    </row>
    <row r="27" spans="1:5" ht="15" thickBot="1" x14ac:dyDescent="0.35">
      <c r="A27" s="56"/>
      <c r="B27" s="152"/>
      <c r="C27" s="153"/>
      <c r="D27" s="15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20355.84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25740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344569.44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329345.76</v>
      </c>
    </row>
    <row r="33" spans="1:6" x14ac:dyDescent="0.3">
      <c r="A33" s="61"/>
      <c r="B33" s="127" t="s">
        <v>73</v>
      </c>
      <c r="C33" s="127"/>
      <c r="D33" s="127"/>
      <c r="E33" s="13">
        <v>15149.68</v>
      </c>
    </row>
    <row r="34" spans="1:6" ht="14.4" customHeight="1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15255.5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x14ac:dyDescent="0.3">
      <c r="A38" s="27"/>
      <c r="B38" s="129" t="s">
        <v>77</v>
      </c>
      <c r="C38" s="129"/>
      <c r="D38" s="129"/>
      <c r="E38" s="13">
        <v>7767.5</v>
      </c>
    </row>
    <row r="39" spans="1:6" ht="14.4" customHeight="1" thickBot="1" x14ac:dyDescent="0.35">
      <c r="A39" s="28"/>
      <c r="B39" s="136" t="s">
        <v>78</v>
      </c>
      <c r="C39" s="136"/>
      <c r="D39" s="136"/>
      <c r="E39" s="16">
        <v>7488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65797.19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24952.32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194089.2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51811.64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79285.25</v>
      </c>
    </row>
    <row r="45" spans="1:6" ht="26.4" customHeight="1" thickBot="1" x14ac:dyDescent="0.35">
      <c r="A45" s="5">
        <v>14</v>
      </c>
      <c r="B45" s="119" t="s">
        <v>81</v>
      </c>
      <c r="C45" s="120"/>
      <c r="D45" s="121"/>
      <c r="E45" s="20">
        <v>216385.12</v>
      </c>
      <c r="F45" s="74"/>
    </row>
    <row r="46" spans="1:6" ht="22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3541278.4000000004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31496062992125984" right="0.31496062992125984" top="0.35433070866141736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0.5" customHeight="1" x14ac:dyDescent="0.3">
      <c r="A1" s="103" t="s">
        <v>15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70541.570000000007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675147.36+86340</f>
        <v>761487.35999999999</v>
      </c>
      <c r="D4" s="36">
        <f>614540.48+85655.51</f>
        <v>700195.99</v>
      </c>
      <c r="E4" s="18"/>
    </row>
    <row r="5" spans="1:5" ht="14.4" customHeight="1" x14ac:dyDescent="0.3">
      <c r="A5" s="101" t="s">
        <v>4</v>
      </c>
      <c r="B5" s="102"/>
      <c r="C5" s="35">
        <v>601.86</v>
      </c>
      <c r="D5" s="36">
        <v>545.79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508.92</v>
      </c>
      <c r="D7" s="36">
        <v>461.43</v>
      </c>
      <c r="E7" s="18"/>
    </row>
    <row r="8" spans="1:5" ht="14.4" customHeight="1" x14ac:dyDescent="0.3">
      <c r="A8" s="107" t="s">
        <v>7</v>
      </c>
      <c r="B8" s="108"/>
      <c r="C8" s="37">
        <v>6334.68</v>
      </c>
      <c r="D8" s="38">
        <v>5709.93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768932.82000000007</v>
      </c>
      <c r="D9" s="40">
        <f t="shared" ref="D9" si="0">SUM(D4:D8)</f>
        <v>706913.14000000013</v>
      </c>
      <c r="E9" s="40">
        <f>D9/C9*100</f>
        <v>91.934317486929501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132561.25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6.2" customHeight="1" thickBot="1" x14ac:dyDescent="0.35">
      <c r="A14" s="5">
        <v>1</v>
      </c>
      <c r="B14" s="113" t="s">
        <v>63</v>
      </c>
      <c r="C14" s="114"/>
      <c r="D14" s="115"/>
      <c r="E14" s="10">
        <v>76915.520000000004</v>
      </c>
    </row>
    <row r="15" spans="1:5" ht="46.2" customHeight="1" thickBot="1" x14ac:dyDescent="0.35">
      <c r="A15" s="5">
        <v>2</v>
      </c>
      <c r="B15" s="116" t="s">
        <v>64</v>
      </c>
      <c r="C15" s="117"/>
      <c r="D15" s="118"/>
      <c r="E15" s="8">
        <v>56441.55</v>
      </c>
    </row>
    <row r="16" spans="1:5" ht="46.2" customHeight="1" x14ac:dyDescent="0.3">
      <c r="A16" s="26">
        <v>3</v>
      </c>
      <c r="B16" s="98" t="s">
        <v>65</v>
      </c>
      <c r="C16" s="99"/>
      <c r="D16" s="100"/>
      <c r="E16" s="46">
        <f>9752.36+21529.26</f>
        <v>31281.62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14628.54+E23+261827.19</f>
        <v>332891.88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56436.15</v>
      </c>
    </row>
    <row r="24" spans="1:5" x14ac:dyDescent="0.3">
      <c r="A24" s="51"/>
      <c r="B24" s="82" t="s">
        <v>105</v>
      </c>
      <c r="C24" s="83"/>
      <c r="D24" s="84"/>
      <c r="E24" s="52">
        <v>13490.29</v>
      </c>
    </row>
    <row r="25" spans="1:5" x14ac:dyDescent="0.3">
      <c r="A25" s="51"/>
      <c r="B25" s="82" t="s">
        <v>115</v>
      </c>
      <c r="C25" s="122"/>
      <c r="D25" s="123"/>
      <c r="E25" s="52">
        <v>42945.86</v>
      </c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12698.83</v>
      </c>
    </row>
    <row r="29" spans="1:5" ht="27.6" customHeight="1" thickBot="1" x14ac:dyDescent="0.35">
      <c r="A29" s="28">
        <v>6</v>
      </c>
      <c r="B29" s="124" t="s">
        <v>69</v>
      </c>
      <c r="C29" s="125"/>
      <c r="D29" s="126"/>
      <c r="E29" s="57">
        <f>30240+3860</f>
        <v>34100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0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187.5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187.5</v>
      </c>
    </row>
    <row r="39" spans="1:6" ht="15" thickBot="1" x14ac:dyDescent="0.35">
      <c r="A39" s="28"/>
      <c r="B39" s="136" t="s">
        <v>78</v>
      </c>
      <c r="C39" s="136"/>
      <c r="D39" s="136"/>
      <c r="E39" s="16">
        <v>0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18332.16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9703.68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64899.56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17324.78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26511.41</v>
      </c>
    </row>
    <row r="45" spans="1:6" ht="27.6" customHeight="1" thickBot="1" x14ac:dyDescent="0.35">
      <c r="A45" s="5">
        <v>14</v>
      </c>
      <c r="B45" s="119" t="s">
        <v>81</v>
      </c>
      <c r="C45" s="120"/>
      <c r="D45" s="121"/>
      <c r="E45" s="20">
        <v>8945.07</v>
      </c>
      <c r="F45" s="74"/>
    </row>
    <row r="46" spans="1:6" ht="20.399999999999999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690233.56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9" workbookViewId="0">
      <selection activeCell="E45" sqref="E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33.75" customHeight="1" x14ac:dyDescent="0.3">
      <c r="A1" s="103" t="s">
        <v>33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519308.85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5394789</v>
      </c>
      <c r="D4" s="36">
        <v>5309557.3600000003</v>
      </c>
      <c r="E4" s="18"/>
    </row>
    <row r="5" spans="1:5" ht="14.4" customHeight="1" x14ac:dyDescent="0.3">
      <c r="A5" s="101" t="s">
        <v>4</v>
      </c>
      <c r="B5" s="102"/>
      <c r="C5" s="35">
        <v>6124.38</v>
      </c>
      <c r="D5" s="36">
        <v>6007.38</v>
      </c>
      <c r="E5" s="18"/>
    </row>
    <row r="6" spans="1:5" ht="14.4" customHeight="1" x14ac:dyDescent="0.3">
      <c r="A6" s="101" t="s">
        <v>5</v>
      </c>
      <c r="B6" s="102"/>
      <c r="C6" s="35">
        <f>6124.38+27082.74</f>
        <v>33207.120000000003</v>
      </c>
      <c r="D6" s="36">
        <f>6007.38+26528.98</f>
        <v>32536.36</v>
      </c>
      <c r="E6" s="18"/>
    </row>
    <row r="7" spans="1:5" ht="14.4" customHeight="1" x14ac:dyDescent="0.3">
      <c r="A7" s="101" t="s">
        <v>6</v>
      </c>
      <c r="B7" s="102"/>
      <c r="C7" s="35">
        <v>10351.08</v>
      </c>
      <c r="D7" s="36">
        <v>10153.09</v>
      </c>
      <c r="E7" s="18"/>
    </row>
    <row r="8" spans="1:5" ht="14.4" customHeight="1" x14ac:dyDescent="0.3">
      <c r="A8" s="107" t="s">
        <v>7</v>
      </c>
      <c r="B8" s="108"/>
      <c r="C8" s="37">
        <v>253794.93</v>
      </c>
      <c r="D8" s="38">
        <v>247351.91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5698266.5099999998</v>
      </c>
      <c r="D9" s="40">
        <f t="shared" ref="D9" si="0">SUM(D4:D8)</f>
        <v>5605606.1000000006</v>
      </c>
      <c r="E9" s="40">
        <f>D9/C9*100</f>
        <v>98.373884235891964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611969.25999999885</v>
      </c>
    </row>
    <row r="11" spans="1:5" ht="27" customHeight="1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27.6" customHeight="1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.6" customHeight="1" thickBot="1" x14ac:dyDescent="0.35">
      <c r="A14" s="5">
        <v>1</v>
      </c>
      <c r="B14" s="113" t="s">
        <v>63</v>
      </c>
      <c r="C14" s="114"/>
      <c r="D14" s="115"/>
      <c r="E14" s="10">
        <v>363895.33</v>
      </c>
    </row>
    <row r="15" spans="1:5" ht="42.6" customHeight="1" thickBot="1" x14ac:dyDescent="0.35">
      <c r="A15" s="5">
        <v>2</v>
      </c>
      <c r="B15" s="116" t="s">
        <v>64</v>
      </c>
      <c r="C15" s="117"/>
      <c r="D15" s="118"/>
      <c r="E15" s="8">
        <v>397262.89</v>
      </c>
    </row>
    <row r="16" spans="1:5" ht="42.6" customHeight="1" x14ac:dyDescent="0.3">
      <c r="A16" s="26">
        <v>3</v>
      </c>
      <c r="B16" s="98" t="s">
        <v>65</v>
      </c>
      <c r="C16" s="99"/>
      <c r="D16" s="100"/>
      <c r="E16" s="46">
        <f>49879.77+E17+110114.31</f>
        <v>1253173.2400000002</v>
      </c>
    </row>
    <row r="17" spans="1:8" x14ac:dyDescent="0.3">
      <c r="A17" s="27"/>
      <c r="B17" s="47" t="s">
        <v>66</v>
      </c>
      <c r="C17" s="48"/>
      <c r="D17" s="49"/>
      <c r="E17" s="50">
        <f>SUM(E18:E21)</f>
        <v>1093179.1600000001</v>
      </c>
    </row>
    <row r="18" spans="1:8" ht="14.4" customHeight="1" x14ac:dyDescent="0.3">
      <c r="A18" s="51"/>
      <c r="B18" s="82" t="s">
        <v>101</v>
      </c>
      <c r="C18" s="83"/>
      <c r="D18" s="84"/>
      <c r="E18" s="52">
        <v>12807.36</v>
      </c>
    </row>
    <row r="19" spans="1:8" x14ac:dyDescent="0.3">
      <c r="A19" s="51"/>
      <c r="B19" s="82" t="s">
        <v>121</v>
      </c>
      <c r="C19" s="122"/>
      <c r="D19" s="123"/>
      <c r="E19" s="52">
        <v>482060.21</v>
      </c>
    </row>
    <row r="20" spans="1:8" x14ac:dyDescent="0.3">
      <c r="A20" s="51"/>
      <c r="B20" s="82" t="s">
        <v>131</v>
      </c>
      <c r="C20" s="122"/>
      <c r="D20" s="123"/>
      <c r="E20" s="53">
        <f>302219.32+296092.27</f>
        <v>598311.59000000008</v>
      </c>
    </row>
    <row r="21" spans="1:8" ht="15" thickBot="1" x14ac:dyDescent="0.35">
      <c r="A21" s="54"/>
      <c r="B21" s="137"/>
      <c r="C21" s="138"/>
      <c r="D21" s="139"/>
      <c r="E21" s="55"/>
      <c r="H21" s="24"/>
    </row>
    <row r="22" spans="1:8" ht="42.6" customHeight="1" x14ac:dyDescent="0.3">
      <c r="A22" s="29">
        <v>4</v>
      </c>
      <c r="B22" s="98" t="s">
        <v>67</v>
      </c>
      <c r="C22" s="99"/>
      <c r="D22" s="100"/>
      <c r="E22" s="46">
        <f>74819.65+E23+1339150.34</f>
        <v>1572123.26</v>
      </c>
    </row>
    <row r="23" spans="1:8" ht="16.5" customHeight="1" x14ac:dyDescent="0.3">
      <c r="A23" s="27"/>
      <c r="B23" s="47" t="s">
        <v>66</v>
      </c>
      <c r="C23" s="48"/>
      <c r="D23" s="49"/>
      <c r="E23" s="50">
        <f>SUM(E24:E27)</f>
        <v>158153.27000000002</v>
      </c>
    </row>
    <row r="24" spans="1:8" ht="15" customHeight="1" x14ac:dyDescent="0.3">
      <c r="A24" s="51"/>
      <c r="B24" s="82" t="s">
        <v>96</v>
      </c>
      <c r="C24" s="83"/>
      <c r="D24" s="84"/>
      <c r="E24" s="52">
        <v>20234.740000000002</v>
      </c>
    </row>
    <row r="25" spans="1:8" x14ac:dyDescent="0.3">
      <c r="A25" s="51"/>
      <c r="B25" s="82" t="s">
        <v>105</v>
      </c>
      <c r="C25" s="122"/>
      <c r="D25" s="123"/>
      <c r="E25" s="52">
        <v>37972.68</v>
      </c>
    </row>
    <row r="26" spans="1:8" x14ac:dyDescent="0.3">
      <c r="A26" s="51"/>
      <c r="B26" s="79" t="s">
        <v>110</v>
      </c>
      <c r="C26" s="80"/>
      <c r="D26" s="81"/>
      <c r="E26" s="53">
        <v>99945.85</v>
      </c>
    </row>
    <row r="27" spans="1:8" ht="15" thickBot="1" x14ac:dyDescent="0.35">
      <c r="A27" s="56"/>
      <c r="B27" s="152"/>
      <c r="C27" s="153"/>
      <c r="D27" s="154"/>
      <c r="E27" s="19"/>
    </row>
    <row r="28" spans="1:8" ht="15" thickBot="1" x14ac:dyDescent="0.35">
      <c r="A28" s="5">
        <v>5</v>
      </c>
      <c r="B28" s="91" t="s">
        <v>68</v>
      </c>
      <c r="C28" s="91"/>
      <c r="D28" s="91"/>
      <c r="E28" s="17">
        <v>36906.720000000001</v>
      </c>
    </row>
    <row r="29" spans="1:8" ht="28.2" customHeight="1" thickBot="1" x14ac:dyDescent="0.35">
      <c r="A29" s="28">
        <v>6</v>
      </c>
      <c r="B29" s="124" t="s">
        <v>69</v>
      </c>
      <c r="C29" s="125"/>
      <c r="D29" s="126"/>
      <c r="E29" s="57">
        <v>45360</v>
      </c>
    </row>
    <row r="30" spans="1:8" ht="15" customHeight="1" x14ac:dyDescent="0.3">
      <c r="A30" s="26">
        <v>7</v>
      </c>
      <c r="B30" s="130" t="s">
        <v>70</v>
      </c>
      <c r="C30" s="131"/>
      <c r="D30" s="132"/>
      <c r="E30" s="58">
        <f>SUM(E32:E35)</f>
        <v>587791.34</v>
      </c>
    </row>
    <row r="31" spans="1:8" ht="14.4" customHeight="1" x14ac:dyDescent="0.3">
      <c r="A31" s="27"/>
      <c r="B31" s="59" t="s">
        <v>71</v>
      </c>
      <c r="C31" s="14"/>
      <c r="D31" s="15"/>
      <c r="E31" s="60"/>
    </row>
    <row r="32" spans="1:8" x14ac:dyDescent="0.3">
      <c r="A32" s="51"/>
      <c r="B32" s="127" t="s">
        <v>72</v>
      </c>
      <c r="C32" s="127"/>
      <c r="D32" s="127"/>
      <c r="E32" s="13">
        <v>576355.07999999996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11362.26</v>
      </c>
    </row>
    <row r="34" spans="1:6" ht="15" customHeight="1" x14ac:dyDescent="0.3">
      <c r="A34" s="30"/>
      <c r="B34" s="133" t="s">
        <v>74</v>
      </c>
      <c r="C34" s="134"/>
      <c r="D34" s="135"/>
      <c r="E34" s="13">
        <v>74</v>
      </c>
    </row>
    <row r="35" spans="1:6" ht="14.4" customHeight="1" thickBot="1" x14ac:dyDescent="0.35">
      <c r="A35" s="62"/>
      <c r="B35" s="128" t="s">
        <v>75</v>
      </c>
      <c r="C35" s="128"/>
      <c r="D35" s="128"/>
      <c r="E35" s="16">
        <v>0</v>
      </c>
    </row>
    <row r="36" spans="1:6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26226.3</v>
      </c>
    </row>
    <row r="37" spans="1:6" ht="15" customHeight="1" x14ac:dyDescent="0.3">
      <c r="A37" s="27"/>
      <c r="B37" s="59" t="s">
        <v>71</v>
      </c>
      <c r="C37" s="11"/>
      <c r="D37" s="12"/>
      <c r="E37" s="60"/>
    </row>
    <row r="38" spans="1:6" ht="15" customHeight="1" x14ac:dyDescent="0.3">
      <c r="A38" s="27"/>
      <c r="B38" s="129" t="s">
        <v>77</v>
      </c>
      <c r="C38" s="129"/>
      <c r="D38" s="129"/>
      <c r="E38" s="13">
        <v>10785.9</v>
      </c>
    </row>
    <row r="39" spans="1:6" ht="15" thickBot="1" x14ac:dyDescent="0.35">
      <c r="A39" s="28"/>
      <c r="B39" s="136" t="s">
        <v>78</v>
      </c>
      <c r="C39" s="136"/>
      <c r="D39" s="136"/>
      <c r="E39" s="16">
        <v>15440.4</v>
      </c>
    </row>
    <row r="40" spans="1:6" ht="14.4" customHeight="1" thickBot="1" x14ac:dyDescent="0.35">
      <c r="A40" s="9">
        <v>9</v>
      </c>
      <c r="B40" s="76" t="s">
        <v>10</v>
      </c>
      <c r="C40" s="77"/>
      <c r="D40" s="78"/>
      <c r="E40" s="17">
        <v>112996.79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44013.120000000003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331937.53999999998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88609.919999999998</v>
      </c>
    </row>
    <row r="44" spans="1:6" ht="15" customHeight="1" thickBot="1" x14ac:dyDescent="0.35">
      <c r="A44" s="9">
        <v>13</v>
      </c>
      <c r="B44" s="76" t="s">
        <v>80</v>
      </c>
      <c r="C44" s="77"/>
      <c r="D44" s="78"/>
      <c r="E44" s="17">
        <v>135596.16</v>
      </c>
    </row>
    <row r="45" spans="1:6" ht="28.2" customHeight="1" thickBot="1" x14ac:dyDescent="0.35">
      <c r="A45" s="5">
        <v>14</v>
      </c>
      <c r="B45" s="119" t="s">
        <v>81</v>
      </c>
      <c r="C45" s="120"/>
      <c r="D45" s="121"/>
      <c r="E45" s="20">
        <v>494027.57</v>
      </c>
      <c r="F45" s="74"/>
    </row>
    <row r="46" spans="1:6" ht="23.4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5489920.1800000006</v>
      </c>
    </row>
  </sheetData>
  <mergeCells count="39">
    <mergeCell ref="B45:D45"/>
    <mergeCell ref="B33:D33"/>
    <mergeCell ref="B34:D34"/>
    <mergeCell ref="B35:D35"/>
    <mergeCell ref="B38:D38"/>
    <mergeCell ref="B40:D40"/>
    <mergeCell ref="B42:D42"/>
    <mergeCell ref="B43:D43"/>
    <mergeCell ref="B41:D41"/>
    <mergeCell ref="B44:D44"/>
    <mergeCell ref="B36:D36"/>
    <mergeCell ref="B39:D39"/>
    <mergeCell ref="A1:E1"/>
    <mergeCell ref="A3:B3"/>
    <mergeCell ref="A4:B4"/>
    <mergeCell ref="A5:B5"/>
    <mergeCell ref="B29:D29"/>
    <mergeCell ref="A7:B7"/>
    <mergeCell ref="A8:B8"/>
    <mergeCell ref="A9:B9"/>
    <mergeCell ref="B13:D13"/>
    <mergeCell ref="B16:D16"/>
    <mergeCell ref="B21:D21"/>
    <mergeCell ref="B24:D24"/>
    <mergeCell ref="B25:D25"/>
    <mergeCell ref="B22:D22"/>
    <mergeCell ref="A10:D10"/>
    <mergeCell ref="A2:D2"/>
    <mergeCell ref="B32:D32"/>
    <mergeCell ref="B14:D14"/>
    <mergeCell ref="B15:D15"/>
    <mergeCell ref="B18:D18"/>
    <mergeCell ref="B19:D19"/>
    <mergeCell ref="B20:D20"/>
    <mergeCell ref="A6:B6"/>
    <mergeCell ref="B26:D26"/>
    <mergeCell ref="B27:D27"/>
    <mergeCell ref="B28:D28"/>
    <mergeCell ref="B30:D3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0.5" customHeight="1" x14ac:dyDescent="0.3">
      <c r="A1" s="103" t="s">
        <v>34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97512.41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986001.48+46549.2</f>
        <v>1032550.6799999999</v>
      </c>
      <c r="D4" s="36">
        <f>917308.61+44272.72</f>
        <v>961581.33</v>
      </c>
      <c r="E4" s="18"/>
    </row>
    <row r="5" spans="1:5" ht="14.4" customHeight="1" x14ac:dyDescent="0.3">
      <c r="A5" s="101" t="s">
        <v>4</v>
      </c>
      <c r="B5" s="102"/>
      <c r="C5" s="35">
        <v>1216.26</v>
      </c>
      <c r="D5" s="36">
        <v>1127.97</v>
      </c>
      <c r="E5" s="18"/>
    </row>
    <row r="6" spans="1:5" ht="14.4" customHeight="1" x14ac:dyDescent="0.3">
      <c r="A6" s="101" t="s">
        <v>5</v>
      </c>
      <c r="B6" s="102"/>
      <c r="C6" s="35">
        <f>1230.48+4958.58</f>
        <v>6189.0599999999995</v>
      </c>
      <c r="D6" s="36">
        <f>1141.59+4592.53</f>
        <v>5734.12</v>
      </c>
      <c r="E6" s="18"/>
    </row>
    <row r="7" spans="1:5" ht="14.4" customHeight="1" x14ac:dyDescent="0.3">
      <c r="A7" s="101" t="s">
        <v>6</v>
      </c>
      <c r="B7" s="102"/>
      <c r="C7" s="35">
        <v>2055.66</v>
      </c>
      <c r="D7" s="36">
        <v>1906.32</v>
      </c>
      <c r="E7" s="18"/>
    </row>
    <row r="8" spans="1:5" ht="14.4" customHeight="1" x14ac:dyDescent="0.3">
      <c r="A8" s="107" t="s">
        <v>7</v>
      </c>
      <c r="B8" s="108"/>
      <c r="C8" s="37">
        <v>9850.7999999999993</v>
      </c>
      <c r="D8" s="38">
        <v>9078.1200000000008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1051862.46</v>
      </c>
      <c r="D9" s="40">
        <f t="shared" ref="D9" si="0">SUM(D4:D8)</f>
        <v>979427.85999999987</v>
      </c>
      <c r="E9" s="40">
        <f>D9/C9*100</f>
        <v>93.113681421808693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169947.01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" customHeight="1" thickBot="1" x14ac:dyDescent="0.35">
      <c r="A14" s="5">
        <v>1</v>
      </c>
      <c r="B14" s="113" t="s">
        <v>63</v>
      </c>
      <c r="C14" s="114"/>
      <c r="D14" s="115"/>
      <c r="E14" s="10">
        <v>248340.9</v>
      </c>
    </row>
    <row r="15" spans="1:5" ht="42" customHeight="1" thickBot="1" x14ac:dyDescent="0.35">
      <c r="A15" s="5">
        <v>2</v>
      </c>
      <c r="B15" s="116" t="s">
        <v>64</v>
      </c>
      <c r="C15" s="117"/>
      <c r="D15" s="118"/>
      <c r="E15" s="8">
        <v>75643.64</v>
      </c>
    </row>
    <row r="16" spans="1:5" ht="42" customHeight="1" x14ac:dyDescent="0.3">
      <c r="A16" s="26">
        <v>3</v>
      </c>
      <c r="B16" s="98" t="s">
        <v>65</v>
      </c>
      <c r="C16" s="99"/>
      <c r="D16" s="100"/>
      <c r="E16" s="46">
        <f>11759.86+25961.01</f>
        <v>37720.869999999995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2" customHeight="1" x14ac:dyDescent="0.3">
      <c r="A22" s="29">
        <v>4</v>
      </c>
      <c r="B22" s="98" t="s">
        <v>67</v>
      </c>
      <c r="C22" s="99"/>
      <c r="D22" s="100"/>
      <c r="E22" s="46">
        <f>17639.8+315723.71</f>
        <v>333363.51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13971.07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14400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ht="15" customHeight="1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322.68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250.5</v>
      </c>
    </row>
    <row r="39" spans="1:5" ht="15" thickBot="1" x14ac:dyDescent="0.35">
      <c r="A39" s="28"/>
      <c r="B39" s="136" t="s">
        <v>78</v>
      </c>
      <c r="C39" s="136"/>
      <c r="D39" s="136"/>
      <c r="E39" s="16">
        <v>72.180000000000007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25627.56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13515.84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78258.990000000005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20891.05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31968.720000000001</v>
      </c>
    </row>
    <row r="45" spans="1:5" ht="26.4" customHeight="1" thickBot="1" x14ac:dyDescent="0.35">
      <c r="A45" s="5">
        <v>14</v>
      </c>
      <c r="B45" s="119" t="s">
        <v>81</v>
      </c>
      <c r="C45" s="120"/>
      <c r="D45" s="121"/>
      <c r="E45" s="20">
        <v>145698.56</v>
      </c>
    </row>
    <row r="46" spans="1:5" ht="21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1039723.3899999999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6.5" customHeight="1" x14ac:dyDescent="0.3">
      <c r="A1" s="103" t="s">
        <v>35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185472.72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1494082.08+24965.52</f>
        <v>1519047.6</v>
      </c>
      <c r="D4" s="36">
        <f>1369598.75+22885.06</f>
        <v>1392483.81</v>
      </c>
      <c r="E4" s="18"/>
    </row>
    <row r="5" spans="1:5" ht="14.4" customHeight="1" x14ac:dyDescent="0.3">
      <c r="A5" s="101" t="s">
        <v>4</v>
      </c>
      <c r="B5" s="102"/>
      <c r="C5" s="35">
        <v>1901.28</v>
      </c>
      <c r="D5" s="36">
        <v>1735.38</v>
      </c>
      <c r="E5" s="18"/>
    </row>
    <row r="6" spans="1:5" ht="14.4" customHeight="1" x14ac:dyDescent="0.3">
      <c r="A6" s="101" t="s">
        <v>5</v>
      </c>
      <c r="B6" s="102"/>
      <c r="C6" s="35">
        <f>1923.24+7750.68</f>
        <v>9673.92</v>
      </c>
      <c r="D6" s="36">
        <f>1756.06+7060.69</f>
        <v>8816.75</v>
      </c>
      <c r="E6" s="18"/>
    </row>
    <row r="7" spans="1:5" ht="14.4" customHeight="1" x14ac:dyDescent="0.3">
      <c r="A7" s="101" t="s">
        <v>6</v>
      </c>
      <c r="B7" s="102"/>
      <c r="C7" s="35">
        <v>3213.66</v>
      </c>
      <c r="D7" s="36">
        <v>2932.74</v>
      </c>
      <c r="E7" s="18"/>
    </row>
    <row r="8" spans="1:5" ht="14.4" customHeight="1" x14ac:dyDescent="0.3">
      <c r="A8" s="107" t="s">
        <v>7</v>
      </c>
      <c r="B8" s="108"/>
      <c r="C8" s="37">
        <v>15398.58</v>
      </c>
      <c r="D8" s="38">
        <v>13941.55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1549235.04</v>
      </c>
      <c r="D9" s="40">
        <f t="shared" ref="D9" si="0">SUM(D4:D8)</f>
        <v>1419910.23</v>
      </c>
      <c r="E9" s="40">
        <f>D9/C9*100</f>
        <v>91.652344114292688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314797.53000000003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241172.83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115716.19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17848.37+39401.96</f>
        <v>57250.33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26772.55+479185.26</f>
        <v>505957.81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20662.12</v>
      </c>
    </row>
    <row r="29" spans="1:5" ht="27.6" customHeight="1" thickBot="1" x14ac:dyDescent="0.35">
      <c r="A29" s="28">
        <v>6</v>
      </c>
      <c r="B29" s="124" t="s">
        <v>69</v>
      </c>
      <c r="C29" s="125"/>
      <c r="D29" s="126"/>
      <c r="E29" s="57">
        <v>21240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0</v>
      </c>
    </row>
    <row r="33" spans="1:5" ht="15" customHeight="1" x14ac:dyDescent="0.3">
      <c r="A33" s="61"/>
      <c r="B33" s="127" t="s">
        <v>73</v>
      </c>
      <c r="C33" s="127"/>
      <c r="D33" s="127"/>
      <c r="E33" s="13">
        <v>0</v>
      </c>
    </row>
    <row r="34" spans="1:5" ht="14.4" customHeight="1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6415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367</v>
      </c>
    </row>
    <row r="39" spans="1:5" ht="14.4" customHeight="1" thickBot="1" x14ac:dyDescent="0.35">
      <c r="A39" s="28"/>
      <c r="B39" s="136" t="s">
        <v>78</v>
      </c>
      <c r="C39" s="136"/>
      <c r="D39" s="136"/>
      <c r="E39" s="16">
        <v>6048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39781.56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20447.04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118776.49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31707.1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48520.08</v>
      </c>
    </row>
    <row r="45" spans="1:5" ht="27" customHeight="1" thickBot="1" x14ac:dyDescent="0.35">
      <c r="A45" s="5">
        <v>14</v>
      </c>
      <c r="B45" s="119" t="s">
        <v>81</v>
      </c>
      <c r="C45" s="120"/>
      <c r="D45" s="121"/>
      <c r="E45" s="20">
        <v>218830.17</v>
      </c>
    </row>
    <row r="46" spans="1:5" ht="22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1446476.7200000002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4:D24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" customHeight="1" x14ac:dyDescent="0.3">
      <c r="A1" s="103" t="s">
        <v>36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94535.85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1017423.24</v>
      </c>
      <c r="D4" s="36">
        <v>965965.39</v>
      </c>
      <c r="E4" s="18"/>
    </row>
    <row r="5" spans="1:5" ht="14.4" customHeight="1" x14ac:dyDescent="0.3">
      <c r="A5" s="101" t="s">
        <v>4</v>
      </c>
      <c r="B5" s="102"/>
      <c r="C5" s="35">
        <v>1283.76</v>
      </c>
      <c r="D5" s="36">
        <v>1214.83</v>
      </c>
      <c r="E5" s="18"/>
    </row>
    <row r="6" spans="1:5" ht="14.4" customHeight="1" x14ac:dyDescent="0.3">
      <c r="A6" s="101" t="s">
        <v>5</v>
      </c>
      <c r="B6" s="102"/>
      <c r="C6" s="35">
        <f>1298.58+5233.2</f>
        <v>6531.78</v>
      </c>
      <c r="D6" s="36">
        <f>1229.16+4945.19</f>
        <v>6174.3499999999995</v>
      </c>
      <c r="E6" s="18"/>
    </row>
    <row r="7" spans="1:5" ht="14.4" customHeight="1" x14ac:dyDescent="0.3">
      <c r="A7" s="101" t="s">
        <v>6</v>
      </c>
      <c r="B7" s="102"/>
      <c r="C7" s="35">
        <v>2169.6</v>
      </c>
      <c r="D7" s="36">
        <v>2052.9299999999998</v>
      </c>
      <c r="E7" s="18"/>
    </row>
    <row r="8" spans="1:5" ht="14.4" customHeight="1" x14ac:dyDescent="0.3">
      <c r="A8" s="107" t="s">
        <v>7</v>
      </c>
      <c r="B8" s="108"/>
      <c r="C8" s="37">
        <v>10397.49</v>
      </c>
      <c r="D8" s="38">
        <v>9780.81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1037805.87</v>
      </c>
      <c r="D9" s="40">
        <f t="shared" ref="D9" si="0">SUM(D4:D8)</f>
        <v>985188.31</v>
      </c>
      <c r="E9" s="40">
        <f>D9/C9*100</f>
        <v>94.929922683902348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147153.40999999992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" customHeight="1" thickBot="1" x14ac:dyDescent="0.35">
      <c r="A14" s="5">
        <v>1</v>
      </c>
      <c r="B14" s="113" t="s">
        <v>63</v>
      </c>
      <c r="C14" s="114"/>
      <c r="D14" s="115"/>
      <c r="E14" s="10">
        <v>133803.9</v>
      </c>
    </row>
    <row r="15" spans="1:5" ht="42" customHeight="1" thickBot="1" x14ac:dyDescent="0.35">
      <c r="A15" s="5">
        <v>2</v>
      </c>
      <c r="B15" s="116" t="s">
        <v>64</v>
      </c>
      <c r="C15" s="117"/>
      <c r="D15" s="118"/>
      <c r="E15" s="8">
        <v>76871.31</v>
      </c>
    </row>
    <row r="16" spans="1:5" ht="42" customHeight="1" x14ac:dyDescent="0.3">
      <c r="A16" s="26">
        <v>3</v>
      </c>
      <c r="B16" s="98" t="s">
        <v>65</v>
      </c>
      <c r="C16" s="99"/>
      <c r="D16" s="100"/>
      <c r="E16" s="46">
        <f>11958.24+26398.95</f>
        <v>38357.19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2" customHeight="1" x14ac:dyDescent="0.3">
      <c r="A22" s="29">
        <v>4</v>
      </c>
      <c r="B22" s="98" t="s">
        <v>67</v>
      </c>
      <c r="C22" s="99"/>
      <c r="D22" s="100"/>
      <c r="E22" s="46">
        <f>17937.36+321049.65</f>
        <v>338987.01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14183.11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14400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246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246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27090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13862.4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79579.14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21243.46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32508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116610.46</v>
      </c>
    </row>
    <row r="46" spans="1:5" ht="19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907741.98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4.25" customHeight="1" x14ac:dyDescent="0.3">
      <c r="A1" s="103" t="s">
        <v>37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155223.22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1487868.24+26249.16</f>
        <v>1514117.4</v>
      </c>
      <c r="D4" s="36">
        <f>1291547.62+41561.17</f>
        <v>1333108.79</v>
      </c>
      <c r="E4" s="18"/>
    </row>
    <row r="5" spans="1:5" ht="14.4" customHeight="1" x14ac:dyDescent="0.3">
      <c r="A5" s="101" t="s">
        <v>4</v>
      </c>
      <c r="B5" s="102"/>
      <c r="C5" s="35">
        <v>1927.38</v>
      </c>
      <c r="D5" s="36">
        <v>1666.82</v>
      </c>
      <c r="E5" s="18"/>
    </row>
    <row r="6" spans="1:5" ht="14.4" customHeight="1" x14ac:dyDescent="0.3">
      <c r="A6" s="101" t="s">
        <v>5</v>
      </c>
      <c r="B6" s="102"/>
      <c r="C6" s="35">
        <f>1949.82+7857.06</f>
        <v>9806.880000000001</v>
      </c>
      <c r="D6" s="36">
        <f>1686.7+6784.81</f>
        <v>8471.51</v>
      </c>
      <c r="E6" s="18"/>
    </row>
    <row r="7" spans="1:5" ht="14.4" customHeight="1" x14ac:dyDescent="0.3">
      <c r="A7" s="101" t="s">
        <v>6</v>
      </c>
      <c r="B7" s="102"/>
      <c r="C7" s="35">
        <v>3258.12</v>
      </c>
      <c r="D7" s="36">
        <v>2817.63</v>
      </c>
      <c r="E7" s="18"/>
    </row>
    <row r="8" spans="1:5" ht="14.4" customHeight="1" x14ac:dyDescent="0.3">
      <c r="A8" s="107" t="s">
        <v>7</v>
      </c>
      <c r="B8" s="108"/>
      <c r="C8" s="37">
        <v>15610.14</v>
      </c>
      <c r="D8" s="38">
        <v>13400.77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1544719.9199999997</v>
      </c>
      <c r="D9" s="40">
        <f t="shared" ref="D9" si="0">SUM(D4:D8)</f>
        <v>1359465.52</v>
      </c>
      <c r="E9" s="40">
        <f>D9/C9*100</f>
        <v>88.007249883849511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340477.61999999965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0.950000000000003" customHeight="1" thickBot="1" x14ac:dyDescent="0.35">
      <c r="A14" s="5">
        <v>1</v>
      </c>
      <c r="B14" s="113" t="s">
        <v>63</v>
      </c>
      <c r="C14" s="114"/>
      <c r="D14" s="115"/>
      <c r="E14" s="10">
        <v>170317.59</v>
      </c>
    </row>
    <row r="15" spans="1:5" ht="40.950000000000003" customHeight="1" thickBot="1" x14ac:dyDescent="0.35">
      <c r="A15" s="5">
        <v>2</v>
      </c>
      <c r="B15" s="116" t="s">
        <v>64</v>
      </c>
      <c r="C15" s="117"/>
      <c r="D15" s="118"/>
      <c r="E15" s="8">
        <v>117290.14</v>
      </c>
    </row>
    <row r="16" spans="1:5" ht="40.950000000000003" customHeight="1" x14ac:dyDescent="0.3">
      <c r="A16" s="26">
        <v>3</v>
      </c>
      <c r="B16" s="98" t="s">
        <v>65</v>
      </c>
      <c r="C16" s="99"/>
      <c r="D16" s="100"/>
      <c r="E16" s="46">
        <f>17772.73+39234.97</f>
        <v>57007.7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39.6" customHeight="1" x14ac:dyDescent="0.3">
      <c r="A22" s="29">
        <v>4</v>
      </c>
      <c r="B22" s="98" t="s">
        <v>67</v>
      </c>
      <c r="C22" s="99"/>
      <c r="D22" s="100"/>
      <c r="E22" s="46">
        <f>26659.09+477154.44</f>
        <v>503813.53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21074.41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21240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373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373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39616.080000000002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20447.04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118273.11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31572.720000000001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48314.45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152217.59</v>
      </c>
    </row>
    <row r="46" spans="1:5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1301557.3600000001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6" customHeight="1" x14ac:dyDescent="0.3">
      <c r="A1" s="103" t="s">
        <v>38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127016.88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1070770.68</v>
      </c>
      <c r="D4" s="36">
        <v>947682.47</v>
      </c>
      <c r="E4" s="18"/>
    </row>
    <row r="5" spans="1:5" ht="14.4" customHeight="1" x14ac:dyDescent="0.3">
      <c r="A5" s="101" t="s">
        <v>4</v>
      </c>
      <c r="B5" s="102"/>
      <c r="C5" s="35">
        <v>1419.96</v>
      </c>
      <c r="D5" s="36">
        <v>1250.81</v>
      </c>
      <c r="E5" s="18"/>
    </row>
    <row r="6" spans="1:5" ht="14.4" customHeight="1" x14ac:dyDescent="0.3">
      <c r="A6" s="101" t="s">
        <v>5</v>
      </c>
      <c r="B6" s="102"/>
      <c r="C6" s="35">
        <f>1437.24+5790.54</f>
        <v>7227.78</v>
      </c>
      <c r="D6" s="36">
        <f>1266.59+5091.5</f>
        <v>6358.09</v>
      </c>
      <c r="E6" s="18"/>
    </row>
    <row r="7" spans="1:5" ht="14.4" customHeight="1" x14ac:dyDescent="0.3">
      <c r="A7" s="101" t="s">
        <v>6</v>
      </c>
      <c r="B7" s="102"/>
      <c r="C7" s="35">
        <v>2401.14</v>
      </c>
      <c r="D7" s="36">
        <v>2115.16</v>
      </c>
      <c r="E7" s="18"/>
    </row>
    <row r="8" spans="1:5" ht="14.4" customHeight="1" x14ac:dyDescent="0.3">
      <c r="A8" s="107" t="s">
        <v>7</v>
      </c>
      <c r="B8" s="108"/>
      <c r="C8" s="37">
        <v>11504.46</v>
      </c>
      <c r="D8" s="38">
        <v>10061.83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1093324.0199999998</v>
      </c>
      <c r="D9" s="40">
        <f t="shared" ref="D9" si="0">SUM(D4:D8)</f>
        <v>967468.36</v>
      </c>
      <c r="E9" s="40">
        <f>D9/C9*100</f>
        <v>88.488713528858554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252872.53999999992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39.6" customHeight="1" thickBot="1" x14ac:dyDescent="0.35">
      <c r="A14" s="5">
        <v>1</v>
      </c>
      <c r="B14" s="113" t="s">
        <v>63</v>
      </c>
      <c r="C14" s="114"/>
      <c r="D14" s="115"/>
      <c r="E14" s="10">
        <v>91577.47</v>
      </c>
    </row>
    <row r="15" spans="1:5" ht="39.6" customHeight="1" thickBot="1" x14ac:dyDescent="0.35">
      <c r="A15" s="5">
        <v>2</v>
      </c>
      <c r="B15" s="116" t="s">
        <v>64</v>
      </c>
      <c r="C15" s="117"/>
      <c r="D15" s="118"/>
      <c r="E15" s="8">
        <v>85055.81</v>
      </c>
    </row>
    <row r="16" spans="1:5" ht="39.6" customHeight="1" x14ac:dyDescent="0.3">
      <c r="A16" s="26">
        <v>3</v>
      </c>
      <c r="B16" s="98" t="s">
        <v>65</v>
      </c>
      <c r="C16" s="99"/>
      <c r="D16" s="100"/>
      <c r="E16" s="46">
        <f>12585.26+27783.15</f>
        <v>40368.410000000003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18877.89+E23+337883.6</f>
        <v>508165.62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151404.13</v>
      </c>
    </row>
    <row r="24" spans="1:5" x14ac:dyDescent="0.3">
      <c r="A24" s="51"/>
      <c r="B24" s="82" t="s">
        <v>99</v>
      </c>
      <c r="C24" s="83"/>
      <c r="D24" s="84"/>
      <c r="E24" s="52">
        <v>151404.13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13794.37</v>
      </c>
    </row>
    <row r="29" spans="1:5" ht="26.4" customHeight="1" thickBot="1" x14ac:dyDescent="0.35">
      <c r="A29" s="28">
        <v>6</v>
      </c>
      <c r="B29" s="124" t="s">
        <v>69</v>
      </c>
      <c r="C29" s="125"/>
      <c r="D29" s="126"/>
      <c r="E29" s="57">
        <v>12600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ht="15" customHeight="1" x14ac:dyDescent="0.3">
      <c r="A34" s="30"/>
      <c r="B34" s="133" t="s">
        <v>74</v>
      </c>
      <c r="C34" s="134"/>
      <c r="D34" s="135"/>
      <c r="E34" s="13">
        <v>0</v>
      </c>
    </row>
    <row r="35" spans="1:5" ht="14.4" customHeight="1" thickBot="1" x14ac:dyDescent="0.35">
      <c r="A35" s="62"/>
      <c r="B35" s="128" t="s">
        <v>75</v>
      </c>
      <c r="C35" s="128"/>
      <c r="D35" s="128"/>
      <c r="E35" s="16">
        <v>0</v>
      </c>
    </row>
    <row r="36" spans="1:5" ht="28.2" customHeight="1" x14ac:dyDescent="0.3">
      <c r="A36" s="26">
        <v>8</v>
      </c>
      <c r="B36" s="98" t="s">
        <v>76</v>
      </c>
      <c r="C36" s="99"/>
      <c r="D36" s="100"/>
      <c r="E36" s="58">
        <f>SUM(E38:E39)</f>
        <v>11377.1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4821.5</v>
      </c>
    </row>
    <row r="39" spans="1:5" ht="15" thickBot="1" x14ac:dyDescent="0.35">
      <c r="A39" s="28"/>
      <c r="B39" s="136" t="s">
        <v>78</v>
      </c>
      <c r="C39" s="136"/>
      <c r="D39" s="136"/>
      <c r="E39" s="16">
        <v>6555.6</v>
      </c>
    </row>
    <row r="40" spans="1:5" ht="14.4" customHeight="1" thickBot="1" x14ac:dyDescent="0.35">
      <c r="A40" s="9">
        <v>9</v>
      </c>
      <c r="B40" s="76" t="s">
        <v>10</v>
      </c>
      <c r="C40" s="77"/>
      <c r="D40" s="78"/>
      <c r="E40" s="17">
        <v>28510.44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12129.6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83751.8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22357.34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34212.53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119528.73</v>
      </c>
    </row>
    <row r="46" spans="1:5" ht="23.4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1063429.22</v>
      </c>
    </row>
  </sheetData>
  <mergeCells count="39">
    <mergeCell ref="B45:D45"/>
    <mergeCell ref="B33:D33"/>
    <mergeCell ref="B34:D34"/>
    <mergeCell ref="B35:D35"/>
    <mergeCell ref="B38:D38"/>
    <mergeCell ref="B40:D40"/>
    <mergeCell ref="B42:D42"/>
    <mergeCell ref="B43:D43"/>
    <mergeCell ref="B41:D41"/>
    <mergeCell ref="B44:D44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18:D18"/>
    <mergeCell ref="B19:D19"/>
    <mergeCell ref="B20:D20"/>
    <mergeCell ref="B26:D26"/>
    <mergeCell ref="B27:D27"/>
    <mergeCell ref="B21:D21"/>
    <mergeCell ref="B25:D25"/>
    <mergeCell ref="B22:D22"/>
    <mergeCell ref="B24:D24"/>
    <mergeCell ref="B28:D28"/>
    <mergeCell ref="B30:D30"/>
    <mergeCell ref="B32:D32"/>
    <mergeCell ref="B36:D36"/>
    <mergeCell ref="B39:D39"/>
    <mergeCell ref="B29:D29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4.5" customHeight="1" x14ac:dyDescent="0.3">
      <c r="A1" s="103" t="s">
        <v>39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132786.01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1438747.8</v>
      </c>
      <c r="D4" s="36">
        <v>1291027.52</v>
      </c>
      <c r="E4" s="18"/>
    </row>
    <row r="5" spans="1:5" ht="14.4" customHeight="1" x14ac:dyDescent="0.3">
      <c r="A5" s="101" t="s">
        <v>4</v>
      </c>
      <c r="B5" s="102"/>
      <c r="C5" s="35">
        <v>2092.14</v>
      </c>
      <c r="D5" s="36">
        <v>1870.72</v>
      </c>
      <c r="E5" s="18"/>
    </row>
    <row r="6" spans="1:5" ht="14.4" customHeight="1" x14ac:dyDescent="0.3">
      <c r="A6" s="101" t="s">
        <v>5</v>
      </c>
      <c r="B6" s="102"/>
      <c r="C6" s="35">
        <f>2116.44+8529.52</f>
        <v>10645.960000000001</v>
      </c>
      <c r="D6" s="36">
        <f>1893.1+7616.27</f>
        <v>9509.3700000000008</v>
      </c>
      <c r="E6" s="18"/>
    </row>
    <row r="7" spans="1:5" ht="14.4" customHeight="1" x14ac:dyDescent="0.3">
      <c r="A7" s="101" t="s">
        <v>6</v>
      </c>
      <c r="B7" s="102"/>
      <c r="C7" s="35">
        <v>3536.82</v>
      </c>
      <c r="D7" s="36">
        <v>3162.44</v>
      </c>
      <c r="E7" s="18"/>
    </row>
    <row r="8" spans="1:5" ht="14.4" customHeight="1" x14ac:dyDescent="0.3">
      <c r="A8" s="107" t="s">
        <v>7</v>
      </c>
      <c r="B8" s="108"/>
      <c r="C8" s="37">
        <v>16945.47</v>
      </c>
      <c r="D8" s="38">
        <v>15048.18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1471968.19</v>
      </c>
      <c r="D9" s="40">
        <f t="shared" ref="D9" si="0">SUM(D4:D8)</f>
        <v>1320618.23</v>
      </c>
      <c r="E9" s="40">
        <f>D9/C9*100</f>
        <v>89.717851171770221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284135.96999999997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95" customHeight="1" thickBot="1" x14ac:dyDescent="0.35">
      <c r="A14" s="5">
        <v>1</v>
      </c>
      <c r="B14" s="113" t="s">
        <v>63</v>
      </c>
      <c r="C14" s="114"/>
      <c r="D14" s="115"/>
      <c r="E14" s="10">
        <v>75451.5</v>
      </c>
    </row>
    <row r="15" spans="1:5" ht="43.95" customHeight="1" thickBot="1" x14ac:dyDescent="0.35">
      <c r="A15" s="5">
        <v>2</v>
      </c>
      <c r="B15" s="116" t="s">
        <v>64</v>
      </c>
      <c r="C15" s="117"/>
      <c r="D15" s="118"/>
      <c r="E15" s="8">
        <v>125285.75999999999</v>
      </c>
    </row>
    <row r="16" spans="1:5" ht="43.95" customHeight="1" x14ac:dyDescent="0.3">
      <c r="A16" s="26">
        <v>3</v>
      </c>
      <c r="B16" s="98" t="s">
        <v>65</v>
      </c>
      <c r="C16" s="99"/>
      <c r="D16" s="100"/>
      <c r="E16" s="46">
        <f>16912.47+E17+37335.89</f>
        <v>102508.6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48260.24</v>
      </c>
    </row>
    <row r="18" spans="1:5" x14ac:dyDescent="0.3">
      <c r="A18" s="51"/>
      <c r="B18" s="82" t="s">
        <v>85</v>
      </c>
      <c r="C18" s="83"/>
      <c r="D18" s="84"/>
      <c r="E18" s="52">
        <v>48260.24</v>
      </c>
    </row>
    <row r="19" spans="1:5" x14ac:dyDescent="0.3">
      <c r="A19" s="51"/>
      <c r="B19" s="82"/>
      <c r="C19" s="122"/>
      <c r="D19" s="123"/>
      <c r="E19" s="52"/>
    </row>
    <row r="20" spans="1:5" x14ac:dyDescent="0.3">
      <c r="A20" s="51"/>
      <c r="B20" s="79"/>
      <c r="C20" s="80"/>
      <c r="D20" s="81"/>
      <c r="E20" s="53"/>
    </row>
    <row r="21" spans="1:5" ht="15" thickBot="1" x14ac:dyDescent="0.35">
      <c r="A21" s="54"/>
      <c r="B21" s="95"/>
      <c r="C21" s="96"/>
      <c r="D21" s="97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25368.71+E23+454058.77</f>
        <v>737765.15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258337.67</v>
      </c>
    </row>
    <row r="24" spans="1:5" x14ac:dyDescent="0.3">
      <c r="A24" s="51"/>
      <c r="B24" s="82" t="s">
        <v>139</v>
      </c>
      <c r="C24" s="83"/>
      <c r="D24" s="84"/>
      <c r="E24" s="52">
        <v>258337.67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19684.38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18000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0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14782.8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6615.9</v>
      </c>
    </row>
    <row r="39" spans="1:6" ht="15" thickBot="1" x14ac:dyDescent="0.35">
      <c r="A39" s="28"/>
      <c r="B39" s="136" t="s">
        <v>78</v>
      </c>
      <c r="C39" s="136"/>
      <c r="D39" s="136"/>
      <c r="E39" s="16">
        <v>8166.9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38313.24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17328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112548.34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30044.51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45975.89</v>
      </c>
    </row>
    <row r="45" spans="1:6" ht="27" customHeight="1" thickBot="1" x14ac:dyDescent="0.35">
      <c r="A45" s="5">
        <v>14</v>
      </c>
      <c r="B45" s="119" t="s">
        <v>81</v>
      </c>
      <c r="C45" s="120"/>
      <c r="D45" s="121"/>
      <c r="E45" s="20">
        <v>33220.39</v>
      </c>
      <c r="F45" s="74"/>
    </row>
    <row r="46" spans="1:6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1370908.5599999998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4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7.5" customHeight="1" x14ac:dyDescent="0.3">
      <c r="A1" s="103" t="s">
        <v>40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106073.09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898660.8+170587.47</f>
        <v>1069248.27</v>
      </c>
      <c r="D4" s="36">
        <f>782987.77+163612.06</f>
        <v>946599.83000000007</v>
      </c>
      <c r="E4" s="18"/>
    </row>
    <row r="5" spans="1:5" ht="14.4" customHeight="1" x14ac:dyDescent="0.3">
      <c r="A5" s="101" t="s">
        <v>4</v>
      </c>
      <c r="B5" s="102"/>
      <c r="C5" s="35">
        <v>1103.97</v>
      </c>
      <c r="D5" s="36">
        <v>951.47</v>
      </c>
      <c r="E5" s="18"/>
    </row>
    <row r="6" spans="1:5" ht="14.4" customHeight="1" x14ac:dyDescent="0.3">
      <c r="A6" s="101" t="s">
        <v>5</v>
      </c>
      <c r="B6" s="102"/>
      <c r="C6" s="35">
        <f>1116.87+4500.48</f>
        <v>5617.3499999999995</v>
      </c>
      <c r="D6" s="36">
        <f>962.69+3871.59</f>
        <v>4834.2800000000007</v>
      </c>
      <c r="E6" s="18"/>
    </row>
    <row r="7" spans="1:5" ht="14.4" customHeight="1" x14ac:dyDescent="0.3">
      <c r="A7" s="101" t="s">
        <v>6</v>
      </c>
      <c r="B7" s="102"/>
      <c r="C7" s="35">
        <v>1865.91</v>
      </c>
      <c r="D7" s="36">
        <v>125</v>
      </c>
      <c r="E7" s="18"/>
    </row>
    <row r="8" spans="1:5" ht="14.4" customHeight="1" x14ac:dyDescent="0.3">
      <c r="A8" s="107" t="s">
        <v>7</v>
      </c>
      <c r="B8" s="108"/>
      <c r="C8" s="37">
        <v>8941.65</v>
      </c>
      <c r="D8" s="38">
        <v>7645.33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1086777.1499999999</v>
      </c>
      <c r="D9" s="40">
        <f t="shared" ref="D9" si="0">SUM(D4:D8)</f>
        <v>960155.91</v>
      </c>
      <c r="E9" s="40">
        <f>D9/C9*100</f>
        <v>88.348923236010265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232694.32999999996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.6" customHeight="1" thickBot="1" x14ac:dyDescent="0.35">
      <c r="A14" s="5">
        <v>1</v>
      </c>
      <c r="B14" s="113" t="s">
        <v>63</v>
      </c>
      <c r="C14" s="114"/>
      <c r="D14" s="115"/>
      <c r="E14" s="10">
        <v>141667.04999999999</v>
      </c>
    </row>
    <row r="15" spans="1:5" ht="42.6" customHeight="1" thickBot="1" x14ac:dyDescent="0.35">
      <c r="A15" s="5">
        <v>2</v>
      </c>
      <c r="B15" s="116" t="s">
        <v>64</v>
      </c>
      <c r="C15" s="117"/>
      <c r="D15" s="118"/>
      <c r="E15" s="8">
        <v>78382.3</v>
      </c>
    </row>
    <row r="16" spans="1:5" ht="42.6" customHeight="1" x14ac:dyDescent="0.3">
      <c r="A16" s="26">
        <v>3</v>
      </c>
      <c r="B16" s="98" t="s">
        <v>65</v>
      </c>
      <c r="C16" s="99"/>
      <c r="D16" s="100"/>
      <c r="E16" s="46">
        <f>12118.43+26752.57</f>
        <v>38871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200000000000003" customHeight="1" x14ac:dyDescent="0.3">
      <c r="A22" s="29">
        <v>4</v>
      </c>
      <c r="B22" s="98" t="s">
        <v>67</v>
      </c>
      <c r="C22" s="99"/>
      <c r="D22" s="100"/>
      <c r="E22" s="46">
        <f>18177.64+325350.22</f>
        <v>343527.86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14183.11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13320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6.4" customHeight="1" x14ac:dyDescent="0.3">
      <c r="A36" s="26">
        <v>8</v>
      </c>
      <c r="B36" s="98" t="s">
        <v>76</v>
      </c>
      <c r="C36" s="99"/>
      <c r="D36" s="100"/>
      <c r="E36" s="58">
        <f>SUM(E38:E39)</f>
        <v>5954.4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252</v>
      </c>
    </row>
    <row r="39" spans="1:5" ht="15" thickBot="1" x14ac:dyDescent="0.35">
      <c r="A39" s="28"/>
      <c r="B39" s="136" t="s">
        <v>78</v>
      </c>
      <c r="C39" s="136"/>
      <c r="D39" s="136"/>
      <c r="E39" s="16">
        <v>5702.4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22688.400000000001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12822.72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80645.13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21528.02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32943.46</v>
      </c>
    </row>
    <row r="45" spans="1:5" ht="27" customHeight="1" thickBot="1" x14ac:dyDescent="0.35">
      <c r="A45" s="5">
        <v>14</v>
      </c>
      <c r="B45" s="119" t="s">
        <v>81</v>
      </c>
      <c r="C45" s="120"/>
      <c r="D45" s="121"/>
      <c r="E45" s="20">
        <v>125666.14</v>
      </c>
    </row>
    <row r="46" spans="1:5" ht="22.2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932199.59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8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7.25" customHeight="1" x14ac:dyDescent="0.3">
      <c r="A1" s="103" t="s">
        <v>41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100003.99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992503.67</v>
      </c>
      <c r="D4" s="36">
        <v>922791.2</v>
      </c>
      <c r="E4" s="18"/>
    </row>
    <row r="5" spans="1:5" ht="14.4" customHeight="1" x14ac:dyDescent="0.3">
      <c r="A5" s="101" t="s">
        <v>4</v>
      </c>
      <c r="B5" s="102"/>
      <c r="C5" s="35">
        <v>1261.53</v>
      </c>
      <c r="D5" s="36">
        <v>1168.1199999999999</v>
      </c>
      <c r="E5" s="18"/>
    </row>
    <row r="6" spans="1:5" ht="14.4" customHeight="1" x14ac:dyDescent="0.3">
      <c r="A6" s="101" t="s">
        <v>5</v>
      </c>
      <c r="B6" s="102"/>
      <c r="C6" s="35">
        <f>1276.24+5142.74</f>
        <v>6418.98</v>
      </c>
      <c r="D6" s="36">
        <f>1181.97+4754.51</f>
        <v>5936.4800000000005</v>
      </c>
      <c r="E6" s="18"/>
    </row>
    <row r="7" spans="1:5" ht="14.4" customHeight="1" x14ac:dyDescent="0.3">
      <c r="A7" s="101" t="s">
        <v>6</v>
      </c>
      <c r="B7" s="102"/>
      <c r="C7" s="35">
        <v>2132.48</v>
      </c>
      <c r="D7" s="36">
        <v>1974.28</v>
      </c>
      <c r="E7" s="18"/>
    </row>
    <row r="8" spans="1:5" ht="14.4" customHeight="1" x14ac:dyDescent="0.3">
      <c r="A8" s="107" t="s">
        <v>7</v>
      </c>
      <c r="B8" s="108"/>
      <c r="C8" s="37">
        <v>10218.4</v>
      </c>
      <c r="D8" s="38">
        <v>9396.25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1012535.06</v>
      </c>
      <c r="D9" s="40">
        <f t="shared" ref="D9" si="0">SUM(D4:D8)</f>
        <v>941266.33</v>
      </c>
      <c r="E9" s="40">
        <f>D9/C9*100</f>
        <v>92.961356814646976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171272.72000000009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.6" customHeight="1" thickBot="1" x14ac:dyDescent="0.35">
      <c r="A14" s="5">
        <v>1</v>
      </c>
      <c r="B14" s="113" t="s">
        <v>63</v>
      </c>
      <c r="C14" s="114"/>
      <c r="D14" s="115"/>
      <c r="E14" s="10">
        <v>110127.56</v>
      </c>
    </row>
    <row r="15" spans="1:5" ht="42.6" customHeight="1" thickBot="1" x14ac:dyDescent="0.35">
      <c r="A15" s="5">
        <v>2</v>
      </c>
      <c r="B15" s="116" t="s">
        <v>64</v>
      </c>
      <c r="C15" s="117"/>
      <c r="D15" s="118"/>
      <c r="E15" s="8">
        <v>75549.2</v>
      </c>
    </row>
    <row r="16" spans="1:5" ht="42.6" customHeight="1" x14ac:dyDescent="0.3">
      <c r="A16" s="26">
        <v>3</v>
      </c>
      <c r="B16" s="98" t="s">
        <v>65</v>
      </c>
      <c r="C16" s="99"/>
      <c r="D16" s="100"/>
      <c r="E16" s="46">
        <f>11663.83+25749</f>
        <v>37412.83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17495.74+313145.35</f>
        <v>330641.08999999997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14183.16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14400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247.5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247.5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26423.040000000001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13862.4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77619.89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20720.439999999999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31707.65</v>
      </c>
    </row>
    <row r="45" spans="1:5" ht="28.2" customHeight="1" thickBot="1" x14ac:dyDescent="0.35">
      <c r="A45" s="5">
        <v>14</v>
      </c>
      <c r="B45" s="119" t="s">
        <v>81</v>
      </c>
      <c r="C45" s="120"/>
      <c r="D45" s="121"/>
      <c r="E45" s="20">
        <v>117422.68</v>
      </c>
    </row>
    <row r="46" spans="1:5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870317.44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C6" sqref="C6:C7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7.5" customHeight="1" x14ac:dyDescent="0.3">
      <c r="A1" s="103" t="s">
        <v>42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100412.42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1009946.76</v>
      </c>
      <c r="D4" s="36">
        <v>938877.93</v>
      </c>
      <c r="E4" s="18"/>
    </row>
    <row r="5" spans="1:5" ht="14.4" customHeight="1" x14ac:dyDescent="0.3">
      <c r="A5" s="101" t="s">
        <v>4</v>
      </c>
      <c r="B5" s="102"/>
      <c r="C5" s="35">
        <v>1281.8399999999999</v>
      </c>
      <c r="D5" s="36">
        <v>1187.44</v>
      </c>
      <c r="E5" s="18"/>
    </row>
    <row r="6" spans="1:5" ht="14.4" customHeight="1" x14ac:dyDescent="0.3">
      <c r="A6" s="101" t="s">
        <v>5</v>
      </c>
      <c r="B6" s="102"/>
      <c r="C6" s="35">
        <f>1297.08+5226.42</f>
        <v>6523.5</v>
      </c>
      <c r="D6" s="36">
        <f>1202.04+4835.44</f>
        <v>6037.48</v>
      </c>
      <c r="E6" s="18"/>
    </row>
    <row r="7" spans="1:5" ht="14.4" customHeight="1" x14ac:dyDescent="0.3">
      <c r="A7" s="101" t="s">
        <v>6</v>
      </c>
      <c r="B7" s="102"/>
      <c r="C7" s="35">
        <v>2167.38</v>
      </c>
      <c r="D7" s="36">
        <v>2008.04</v>
      </c>
      <c r="E7" s="18"/>
    </row>
    <row r="8" spans="1:5" ht="14.4" customHeight="1" x14ac:dyDescent="0.3">
      <c r="A8" s="107" t="s">
        <v>7</v>
      </c>
      <c r="B8" s="108"/>
      <c r="C8" s="37">
        <v>10384.049999999999</v>
      </c>
      <c r="D8" s="38">
        <v>9562.98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1030303.53</v>
      </c>
      <c r="D9" s="40">
        <f t="shared" ref="D9" si="0">SUM(D4:D8)</f>
        <v>957673.87</v>
      </c>
      <c r="E9" s="40">
        <f>D9/C9*100</f>
        <v>92.9506540659916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173042.07999999996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0.950000000000003" customHeight="1" thickBot="1" x14ac:dyDescent="0.35">
      <c r="A14" s="5">
        <v>1</v>
      </c>
      <c r="B14" s="113" t="s">
        <v>63</v>
      </c>
      <c r="C14" s="114"/>
      <c r="D14" s="115"/>
      <c r="E14" s="10">
        <v>116704.8</v>
      </c>
    </row>
    <row r="15" spans="1:5" ht="40.950000000000003" customHeight="1" thickBot="1" x14ac:dyDescent="0.35">
      <c r="A15" s="5">
        <v>2</v>
      </c>
      <c r="B15" s="116" t="s">
        <v>64</v>
      </c>
      <c r="C15" s="117"/>
      <c r="D15" s="118"/>
      <c r="E15" s="8">
        <v>76776.88</v>
      </c>
    </row>
    <row r="16" spans="1:5" ht="40.950000000000003" customHeight="1" x14ac:dyDescent="0.3">
      <c r="A16" s="26">
        <v>3</v>
      </c>
      <c r="B16" s="98" t="s">
        <v>65</v>
      </c>
      <c r="C16" s="99"/>
      <c r="D16" s="100"/>
      <c r="E16" s="46">
        <f>11870.36+E17+26204.95</f>
        <v>61882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23806.690000000002</v>
      </c>
    </row>
    <row r="18" spans="1:5" x14ac:dyDescent="0.3">
      <c r="A18" s="51"/>
      <c r="B18" s="82" t="s">
        <v>112</v>
      </c>
      <c r="C18" s="83"/>
      <c r="D18" s="84"/>
      <c r="E18" s="52">
        <v>7656.46</v>
      </c>
    </row>
    <row r="19" spans="1:5" x14ac:dyDescent="0.3">
      <c r="A19" s="51"/>
      <c r="B19" s="82" t="s">
        <v>145</v>
      </c>
      <c r="C19" s="122"/>
      <c r="D19" s="123"/>
      <c r="E19" s="52">
        <v>4378.28</v>
      </c>
    </row>
    <row r="20" spans="1:5" x14ac:dyDescent="0.3">
      <c r="A20" s="51"/>
      <c r="B20" s="82" t="s">
        <v>146</v>
      </c>
      <c r="C20" s="122"/>
      <c r="D20" s="123"/>
      <c r="E20" s="53">
        <v>11771.95</v>
      </c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17805.54+318690.3</f>
        <v>336495.83999999997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13770.82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14400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247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247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26890.92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13862.4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78994.320000000007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21087.34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32269.1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61684.59</v>
      </c>
    </row>
    <row r="46" spans="1:5" ht="21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855066.00999999989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C4" sqref="C4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1.25" customHeight="1" x14ac:dyDescent="0.3">
      <c r="A1" s="103" t="s">
        <v>16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126293.5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1369563.12</v>
      </c>
      <c r="D4" s="36">
        <v>1355548.98</v>
      </c>
      <c r="E4" s="18"/>
    </row>
    <row r="5" spans="1:5" ht="14.4" customHeight="1" x14ac:dyDescent="0.3">
      <c r="A5" s="101" t="s">
        <v>4</v>
      </c>
      <c r="B5" s="102"/>
      <c r="C5" s="35">
        <v>2324.94</v>
      </c>
      <c r="D5" s="36">
        <v>2293.4299999999998</v>
      </c>
      <c r="E5" s="18"/>
    </row>
    <row r="6" spans="1:5" ht="14.4" customHeight="1" x14ac:dyDescent="0.3">
      <c r="A6" s="101" t="s">
        <v>5</v>
      </c>
      <c r="B6" s="102"/>
      <c r="C6" s="35">
        <f>2352.54+10274.04</f>
        <v>12626.580000000002</v>
      </c>
      <c r="D6" s="36">
        <f>2321.32+10121.2</f>
        <v>12442.52</v>
      </c>
      <c r="E6" s="18"/>
    </row>
    <row r="7" spans="1:5" ht="14.4" customHeight="1" x14ac:dyDescent="0.3">
      <c r="A7" s="101" t="s">
        <v>6</v>
      </c>
      <c r="B7" s="102"/>
      <c r="C7" s="35">
        <v>3931.38</v>
      </c>
      <c r="D7" s="36">
        <v>3878.05</v>
      </c>
      <c r="E7" s="18"/>
    </row>
    <row r="8" spans="1:5" ht="14.4" customHeight="1" x14ac:dyDescent="0.3">
      <c r="A8" s="107" t="s">
        <v>7</v>
      </c>
      <c r="B8" s="108"/>
      <c r="C8" s="37">
        <v>18834.900000000001</v>
      </c>
      <c r="D8" s="38">
        <v>18468.990000000002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1407280.92</v>
      </c>
      <c r="D9" s="40">
        <f t="shared" ref="D9" si="0">SUM(D4:D8)</f>
        <v>1392631.97</v>
      </c>
      <c r="E9" s="40">
        <f>D9/C9*100</f>
        <v>98.959060000614514</v>
      </c>
    </row>
    <row r="10" spans="1:5" ht="19.5" customHeight="1" x14ac:dyDescent="0.3">
      <c r="A10" s="112" t="s">
        <v>60</v>
      </c>
      <c r="B10" s="112"/>
      <c r="C10" s="112"/>
      <c r="D10" s="112"/>
      <c r="E10" s="41">
        <f>E2+C9-D9</f>
        <v>140942.44999999995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0.950000000000003" customHeight="1" thickBot="1" x14ac:dyDescent="0.35">
      <c r="A14" s="5">
        <v>1</v>
      </c>
      <c r="B14" s="113" t="s">
        <v>63</v>
      </c>
      <c r="C14" s="114"/>
      <c r="D14" s="115"/>
      <c r="E14" s="10">
        <v>104892.7</v>
      </c>
    </row>
    <row r="15" spans="1:5" ht="40.950000000000003" customHeight="1" thickBot="1" x14ac:dyDescent="0.35">
      <c r="A15" s="5">
        <v>2</v>
      </c>
      <c r="B15" s="116" t="s">
        <v>64</v>
      </c>
      <c r="C15" s="117"/>
      <c r="D15" s="118"/>
      <c r="E15" s="8">
        <v>139262.35999999999</v>
      </c>
    </row>
    <row r="16" spans="1:5" ht="40.950000000000003" customHeight="1" x14ac:dyDescent="0.3">
      <c r="A16" s="26">
        <v>3</v>
      </c>
      <c r="B16" s="98" t="s">
        <v>65</v>
      </c>
      <c r="C16" s="99"/>
      <c r="D16" s="100"/>
      <c r="E16" s="46">
        <f>16097.09+35535.85</f>
        <v>51632.94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200000000000003" customHeight="1" x14ac:dyDescent="0.3">
      <c r="A22" s="29">
        <v>4</v>
      </c>
      <c r="B22" s="98" t="s">
        <v>67</v>
      </c>
      <c r="C22" s="99"/>
      <c r="D22" s="100"/>
      <c r="E22" s="46">
        <f>24145.63+432167.67</f>
        <v>456313.3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18235.439999999999</v>
      </c>
    </row>
    <row r="29" spans="1:5" ht="28.95" customHeight="1" thickBot="1" x14ac:dyDescent="0.35">
      <c r="A29" s="28">
        <v>6</v>
      </c>
      <c r="B29" s="124" t="s">
        <v>69</v>
      </c>
      <c r="C29" s="125"/>
      <c r="D29" s="126"/>
      <c r="E29" s="57">
        <v>16200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8.2" customHeight="1" x14ac:dyDescent="0.3">
      <c r="A36" s="26">
        <v>8</v>
      </c>
      <c r="B36" s="98" t="s">
        <v>76</v>
      </c>
      <c r="C36" s="99"/>
      <c r="D36" s="100"/>
      <c r="E36" s="58">
        <f>SUM(E38:E39)</f>
        <v>5781.6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5781.6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36466.080000000002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15595.2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107122.16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28596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43759.3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37728.18</v>
      </c>
    </row>
    <row r="46" spans="1:5" ht="23.4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1061585.26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" customHeight="1" x14ac:dyDescent="0.3">
      <c r="A1" s="103" t="s">
        <v>43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97134.48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1045500.96</v>
      </c>
      <c r="D4" s="36">
        <v>999489.71</v>
      </c>
      <c r="E4" s="18"/>
    </row>
    <row r="5" spans="1:5" ht="14.4" customHeight="1" x14ac:dyDescent="0.3">
      <c r="A5" s="101" t="s">
        <v>4</v>
      </c>
      <c r="B5" s="102"/>
      <c r="C5" s="35">
        <v>1436.04</v>
      </c>
      <c r="D5" s="36">
        <v>1367.56</v>
      </c>
      <c r="E5" s="18"/>
    </row>
    <row r="6" spans="1:5" ht="14.4" customHeight="1" x14ac:dyDescent="0.3">
      <c r="A6" s="101" t="s">
        <v>5</v>
      </c>
      <c r="B6" s="102"/>
      <c r="C6" s="35">
        <f>1452.96+5855.88</f>
        <v>7308.84</v>
      </c>
      <c r="D6" s="36">
        <f>1384.02+5569.62</f>
        <v>6953.6399999999994</v>
      </c>
      <c r="E6" s="18"/>
    </row>
    <row r="7" spans="1:5" ht="14.4" customHeight="1" x14ac:dyDescent="0.3">
      <c r="A7" s="101" t="s">
        <v>6</v>
      </c>
      <c r="B7" s="102"/>
      <c r="C7" s="35">
        <v>2428.1999999999998</v>
      </c>
      <c r="D7" s="36">
        <v>2312.5100000000002</v>
      </c>
      <c r="E7" s="18"/>
    </row>
    <row r="8" spans="1:5" ht="14.4" customHeight="1" x14ac:dyDescent="0.3">
      <c r="A8" s="107" t="s">
        <v>7</v>
      </c>
      <c r="B8" s="108"/>
      <c r="C8" s="37">
        <v>11633.64</v>
      </c>
      <c r="D8" s="38">
        <v>11011.62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1068307.68</v>
      </c>
      <c r="D9" s="40">
        <f t="shared" ref="D9" si="0">SUM(D4:D8)</f>
        <v>1021135.04</v>
      </c>
      <c r="E9" s="40">
        <f>D9/C9*100</f>
        <v>95.58435824405943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144307.11999999988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.6" customHeight="1" thickBot="1" x14ac:dyDescent="0.35">
      <c r="A14" s="5">
        <v>1</v>
      </c>
      <c r="B14" s="113" t="s">
        <v>63</v>
      </c>
      <c r="C14" s="114"/>
      <c r="D14" s="115"/>
      <c r="E14" s="10">
        <v>85126.21</v>
      </c>
    </row>
    <row r="15" spans="1:5" ht="42.6" customHeight="1" thickBot="1" x14ac:dyDescent="0.35">
      <c r="A15" s="5">
        <v>2</v>
      </c>
      <c r="B15" s="116" t="s">
        <v>64</v>
      </c>
      <c r="C15" s="117"/>
      <c r="D15" s="118"/>
      <c r="E15" s="8">
        <v>87668.55</v>
      </c>
    </row>
    <row r="16" spans="1:5" ht="42.6" customHeight="1" x14ac:dyDescent="0.3">
      <c r="A16" s="26">
        <v>3</v>
      </c>
      <c r="B16" s="98" t="s">
        <v>65</v>
      </c>
      <c r="C16" s="99"/>
      <c r="D16" s="100"/>
      <c r="E16" s="46">
        <f>12524.45+E17+27648.91</f>
        <v>412740.33999999997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372566.98</v>
      </c>
    </row>
    <row r="18" spans="1:5" x14ac:dyDescent="0.3">
      <c r="A18" s="51"/>
      <c r="B18" s="82" t="s">
        <v>128</v>
      </c>
      <c r="C18" s="83"/>
      <c r="D18" s="84"/>
      <c r="E18" s="52">
        <v>372566.98</v>
      </c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2" customHeight="1" x14ac:dyDescent="0.3">
      <c r="A22" s="29">
        <v>4</v>
      </c>
      <c r="B22" s="98" t="s">
        <v>67</v>
      </c>
      <c r="C22" s="99"/>
      <c r="D22" s="100"/>
      <c r="E22" s="46">
        <f>18786.67+336250.97</f>
        <v>355037.63999999996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13182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12420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0</v>
      </c>
    </row>
    <row r="33" spans="1:5" x14ac:dyDescent="0.3">
      <c r="A33" s="61"/>
      <c r="B33" s="127" t="s">
        <v>73</v>
      </c>
      <c r="C33" s="127"/>
      <c r="D33" s="127"/>
      <c r="E33" s="13">
        <v>0</v>
      </c>
    </row>
    <row r="34" spans="1:5" ht="14.4" customHeight="1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1292.24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1024.04</v>
      </c>
    </row>
    <row r="39" spans="1:5" ht="14.4" customHeight="1" thickBot="1" x14ac:dyDescent="0.35">
      <c r="A39" s="28"/>
      <c r="B39" s="136" t="s">
        <v>78</v>
      </c>
      <c r="C39" s="136"/>
      <c r="D39" s="136"/>
      <c r="E39" s="16">
        <v>268.2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27837.599999999999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11956.32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83347.12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22249.31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34047.22</v>
      </c>
    </row>
    <row r="45" spans="1:5" ht="28.2" customHeight="1" thickBot="1" x14ac:dyDescent="0.35">
      <c r="A45" s="5">
        <v>14</v>
      </c>
      <c r="B45" s="119" t="s">
        <v>81</v>
      </c>
      <c r="C45" s="120"/>
      <c r="D45" s="121"/>
      <c r="E45" s="20">
        <v>152008.35</v>
      </c>
    </row>
    <row r="46" spans="1:5" ht="24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1298912.9000000001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5.25" customHeight="1" x14ac:dyDescent="0.3">
      <c r="A1" s="103" t="s">
        <v>44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103431.37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1005718.92</v>
      </c>
      <c r="D4" s="36">
        <v>936114.36</v>
      </c>
      <c r="E4" s="18"/>
    </row>
    <row r="5" spans="1:5" ht="14.4" customHeight="1" x14ac:dyDescent="0.3">
      <c r="A5" s="101" t="s">
        <v>4</v>
      </c>
      <c r="B5" s="102"/>
      <c r="C5" s="35">
        <v>1271.82</v>
      </c>
      <c r="D5" s="36">
        <v>1179.32</v>
      </c>
      <c r="E5" s="18"/>
    </row>
    <row r="6" spans="1:5" ht="14.4" customHeight="1" x14ac:dyDescent="0.3">
      <c r="A6" s="101" t="s">
        <v>5</v>
      </c>
      <c r="B6" s="102"/>
      <c r="C6" s="35">
        <f>1287+5185.8</f>
        <v>6472.8</v>
      </c>
      <c r="D6" s="36">
        <f>1193.72+4800.45</f>
        <v>5994.17</v>
      </c>
      <c r="E6" s="18"/>
    </row>
    <row r="7" spans="1:5" ht="14.4" customHeight="1" x14ac:dyDescent="0.3">
      <c r="A7" s="101" t="s">
        <v>6</v>
      </c>
      <c r="B7" s="102"/>
      <c r="C7" s="35">
        <v>2150.58</v>
      </c>
      <c r="D7" s="36">
        <v>1993.75</v>
      </c>
      <c r="E7" s="18"/>
    </row>
    <row r="8" spans="1:5" ht="14.4" customHeight="1" x14ac:dyDescent="0.3">
      <c r="A8" s="107" t="s">
        <v>7</v>
      </c>
      <c r="B8" s="108"/>
      <c r="C8" s="37">
        <v>10303.44</v>
      </c>
      <c r="D8" s="38">
        <v>9487.1200000000008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1025917.5599999999</v>
      </c>
      <c r="D9" s="40">
        <f t="shared" ref="D9" si="0">SUM(D4:D8)</f>
        <v>954768.72</v>
      </c>
      <c r="E9" s="40">
        <f>D9/C9*100</f>
        <v>93.064857959931985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174580.20999999996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.6" customHeight="1" thickBot="1" x14ac:dyDescent="0.35">
      <c r="A14" s="5">
        <v>1</v>
      </c>
      <c r="B14" s="113" t="s">
        <v>63</v>
      </c>
      <c r="C14" s="114"/>
      <c r="D14" s="115"/>
      <c r="E14" s="10">
        <v>95226.67</v>
      </c>
    </row>
    <row r="15" spans="1:5" ht="42.6" customHeight="1" thickBot="1" x14ac:dyDescent="0.35">
      <c r="A15" s="5">
        <v>2</v>
      </c>
      <c r="B15" s="116" t="s">
        <v>64</v>
      </c>
      <c r="C15" s="117"/>
      <c r="D15" s="118"/>
      <c r="E15" s="8">
        <v>76178.78</v>
      </c>
    </row>
    <row r="16" spans="1:5" ht="42.6" customHeight="1" x14ac:dyDescent="0.3">
      <c r="A16" s="26">
        <v>3</v>
      </c>
      <c r="B16" s="98" t="s">
        <v>65</v>
      </c>
      <c r="C16" s="99"/>
      <c r="D16" s="100"/>
      <c r="E16" s="46">
        <f>11820.67+26095.26</f>
        <v>37915.93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2" customHeight="1" x14ac:dyDescent="0.3">
      <c r="A22" s="29">
        <v>4</v>
      </c>
      <c r="B22" s="98" t="s">
        <v>67</v>
      </c>
      <c r="C22" s="99"/>
      <c r="D22" s="100"/>
      <c r="E22" s="46">
        <f>17731.01+E23+317356.33</f>
        <v>434916.14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99828.800000000003</v>
      </c>
    </row>
    <row r="24" spans="1:5" x14ac:dyDescent="0.3">
      <c r="A24" s="51"/>
      <c r="B24" s="82" t="s">
        <v>114</v>
      </c>
      <c r="C24" s="83"/>
      <c r="D24" s="84"/>
      <c r="E24" s="52">
        <v>99828.800000000003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13770.82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14400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0</v>
      </c>
    </row>
    <row r="33" spans="1:5" x14ac:dyDescent="0.3">
      <c r="A33" s="61"/>
      <c r="B33" s="127" t="s">
        <v>73</v>
      </c>
      <c r="C33" s="127"/>
      <c r="D33" s="127"/>
      <c r="E33" s="13">
        <v>0</v>
      </c>
    </row>
    <row r="34" spans="1:5" ht="14.4" customHeight="1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240.5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240.5</v>
      </c>
    </row>
    <row r="39" spans="1:5" ht="14.4" customHeight="1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26778.36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13862.4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78663.67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20999.08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32134.03</v>
      </c>
    </row>
    <row r="45" spans="1:5" ht="27" customHeight="1" thickBot="1" x14ac:dyDescent="0.35">
      <c r="A45" s="5">
        <v>14</v>
      </c>
      <c r="B45" s="119" t="s">
        <v>81</v>
      </c>
      <c r="C45" s="120"/>
      <c r="D45" s="121"/>
      <c r="E45" s="20">
        <v>110723.36</v>
      </c>
    </row>
    <row r="46" spans="1:5" ht="24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955809.74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4.5" customHeight="1" x14ac:dyDescent="0.3">
      <c r="A1" s="103" t="s">
        <v>45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101251.91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1012691.4</v>
      </c>
      <c r="D4" s="36">
        <v>957175.85</v>
      </c>
      <c r="E4" s="18"/>
    </row>
    <row r="5" spans="1:5" ht="14.4" customHeight="1" x14ac:dyDescent="0.3">
      <c r="A5" s="101" t="s">
        <v>4</v>
      </c>
      <c r="B5" s="102"/>
      <c r="C5" s="35">
        <v>1288.32</v>
      </c>
      <c r="D5" s="36">
        <v>1212.8499999999999</v>
      </c>
      <c r="E5" s="18"/>
    </row>
    <row r="6" spans="1:5" ht="14.4" customHeight="1" x14ac:dyDescent="0.3">
      <c r="A6" s="101" t="s">
        <v>5</v>
      </c>
      <c r="B6" s="102"/>
      <c r="C6" s="35">
        <f>1303.56+5252.33</f>
        <v>6555.8899999999994</v>
      </c>
      <c r="D6" s="36">
        <f>1227.72+4937.44</f>
        <v>6165.16</v>
      </c>
      <c r="E6" s="18"/>
    </row>
    <row r="7" spans="1:5" ht="14.4" customHeight="1" x14ac:dyDescent="0.3">
      <c r="A7" s="101" t="s">
        <v>6</v>
      </c>
      <c r="B7" s="102"/>
      <c r="C7" s="35">
        <v>2177.8200000000002</v>
      </c>
      <c r="D7" s="36">
        <v>2050.48</v>
      </c>
      <c r="E7" s="18"/>
    </row>
    <row r="8" spans="1:5" ht="14.4" customHeight="1" x14ac:dyDescent="0.3">
      <c r="A8" s="107" t="s">
        <v>7</v>
      </c>
      <c r="B8" s="108"/>
      <c r="C8" s="37">
        <v>10435.469999999999</v>
      </c>
      <c r="D8" s="38">
        <v>9760.19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1033148.8999999999</v>
      </c>
      <c r="D9" s="40">
        <f t="shared" ref="D9" si="0">SUM(D4:D8)</f>
        <v>976364.52999999991</v>
      </c>
      <c r="E9" s="40">
        <f>D9/C9*100</f>
        <v>94.503757396441117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158036.27999999991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4.4" customHeight="1" thickBot="1" x14ac:dyDescent="0.35">
      <c r="A14" s="5">
        <v>1</v>
      </c>
      <c r="B14" s="113" t="s">
        <v>63</v>
      </c>
      <c r="C14" s="114"/>
      <c r="D14" s="115"/>
      <c r="E14" s="10">
        <v>87232.75</v>
      </c>
    </row>
    <row r="15" spans="1:5" ht="44.4" customHeight="1" thickBot="1" x14ac:dyDescent="0.35">
      <c r="A15" s="5">
        <v>2</v>
      </c>
      <c r="B15" s="116" t="s">
        <v>64</v>
      </c>
      <c r="C15" s="117"/>
      <c r="D15" s="118"/>
      <c r="E15" s="8">
        <v>77154.62</v>
      </c>
    </row>
    <row r="16" spans="1:5" ht="44.4" customHeight="1" x14ac:dyDescent="0.3">
      <c r="A16" s="26">
        <v>3</v>
      </c>
      <c r="B16" s="98" t="s">
        <v>65</v>
      </c>
      <c r="C16" s="99"/>
      <c r="D16" s="100"/>
      <c r="E16" s="46">
        <f>11902.62+26276.16</f>
        <v>38178.78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17853.93+319556.39</f>
        <v>337410.32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13770.82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14400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5.95" customHeight="1" x14ac:dyDescent="0.3">
      <c r="A36" s="26">
        <v>8</v>
      </c>
      <c r="B36" s="98" t="s">
        <v>76</v>
      </c>
      <c r="C36" s="99"/>
      <c r="D36" s="100"/>
      <c r="E36" s="58">
        <f>SUM(E38:E39)</f>
        <v>5753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245</v>
      </c>
    </row>
    <row r="39" spans="1:5" ht="15" thickBot="1" x14ac:dyDescent="0.35">
      <c r="A39" s="28"/>
      <c r="B39" s="136" t="s">
        <v>78</v>
      </c>
      <c r="C39" s="136"/>
      <c r="D39" s="136"/>
      <c r="E39" s="16">
        <v>5508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26964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13862.4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79209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21144.65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32356.799999999999</v>
      </c>
    </row>
    <row r="45" spans="1:5" ht="28.2" customHeight="1" thickBot="1" x14ac:dyDescent="0.35">
      <c r="A45" s="5">
        <v>14</v>
      </c>
      <c r="B45" s="119" t="s">
        <v>81</v>
      </c>
      <c r="C45" s="120"/>
      <c r="D45" s="121"/>
      <c r="E45" s="20">
        <v>56200.65</v>
      </c>
    </row>
    <row r="46" spans="1:5" ht="22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803637.79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3.5" customHeight="1" x14ac:dyDescent="0.3">
      <c r="A1" s="103" t="s">
        <v>46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103154.39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988020.72+25995</f>
        <v>1014015.72</v>
      </c>
      <c r="D4" s="36">
        <f>894335.6+2166.25</f>
        <v>896501.85</v>
      </c>
      <c r="E4" s="18"/>
    </row>
    <row r="5" spans="1:5" ht="14.4" customHeight="1" x14ac:dyDescent="0.3">
      <c r="A5" s="101" t="s">
        <v>4</v>
      </c>
      <c r="B5" s="102"/>
      <c r="C5" s="35">
        <v>1261.08</v>
      </c>
      <c r="D5" s="36">
        <v>1137.44</v>
      </c>
      <c r="E5" s="18"/>
    </row>
    <row r="6" spans="1:5" ht="14.4" customHeight="1" x14ac:dyDescent="0.3">
      <c r="A6" s="101" t="s">
        <v>5</v>
      </c>
      <c r="B6" s="102"/>
      <c r="C6" s="35">
        <f>1275.66+5141.23</f>
        <v>6416.8899999999994</v>
      </c>
      <c r="D6" s="36">
        <f>1151.03+4631.32</f>
        <v>5782.3499999999995</v>
      </c>
      <c r="E6" s="18"/>
    </row>
    <row r="7" spans="1:5" ht="14.4" customHeight="1" x14ac:dyDescent="0.3">
      <c r="A7" s="101" t="s">
        <v>6</v>
      </c>
      <c r="B7" s="102"/>
      <c r="C7" s="35">
        <v>2131.62</v>
      </c>
      <c r="D7" s="36">
        <v>1922.78</v>
      </c>
      <c r="E7" s="18"/>
    </row>
    <row r="8" spans="1:5" ht="14.4" customHeight="1" x14ac:dyDescent="0.3">
      <c r="A8" s="107" t="s">
        <v>7</v>
      </c>
      <c r="B8" s="108"/>
      <c r="C8" s="37">
        <v>10214.1</v>
      </c>
      <c r="D8" s="38">
        <v>9153.15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1034039.4099999999</v>
      </c>
      <c r="D9" s="40">
        <f t="shared" ref="D9" si="0">SUM(D4:D8)</f>
        <v>914497.57</v>
      </c>
      <c r="E9" s="40">
        <f>D9/C9*100</f>
        <v>88.439334241622376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222696.22999999986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.6" customHeight="1" thickBot="1" x14ac:dyDescent="0.35">
      <c r="A14" s="5">
        <v>1</v>
      </c>
      <c r="B14" s="113" t="s">
        <v>63</v>
      </c>
      <c r="C14" s="114"/>
      <c r="D14" s="115"/>
      <c r="E14" s="10">
        <v>126761.81</v>
      </c>
    </row>
    <row r="15" spans="1:5" ht="42.6" customHeight="1" thickBot="1" x14ac:dyDescent="0.35">
      <c r="A15" s="5">
        <v>2</v>
      </c>
      <c r="B15" s="116" t="s">
        <v>64</v>
      </c>
      <c r="C15" s="117"/>
      <c r="D15" s="118"/>
      <c r="E15" s="8">
        <v>77469</v>
      </c>
    </row>
    <row r="16" spans="1:5" ht="42.6" customHeight="1" x14ac:dyDescent="0.3">
      <c r="A16" s="26">
        <v>3</v>
      </c>
      <c r="B16" s="98" t="s">
        <v>65</v>
      </c>
      <c r="C16" s="99"/>
      <c r="D16" s="100"/>
      <c r="E16" s="46">
        <f>11912.26+26297.44</f>
        <v>38209.699999999997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2" customHeight="1" x14ac:dyDescent="0.3">
      <c r="A22" s="29">
        <v>4</v>
      </c>
      <c r="B22" s="98" t="s">
        <v>67</v>
      </c>
      <c r="C22" s="99"/>
      <c r="D22" s="100"/>
      <c r="E22" s="46">
        <f>17868.39+E23+319815.22</f>
        <v>355670.67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17987.060000000001</v>
      </c>
    </row>
    <row r="24" spans="1:5" x14ac:dyDescent="0.3">
      <c r="A24" s="51"/>
      <c r="B24" s="82" t="s">
        <v>102</v>
      </c>
      <c r="C24" s="83"/>
      <c r="D24" s="84"/>
      <c r="E24" s="52">
        <v>17987.060000000001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42.75" customHeight="1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13358.52</v>
      </c>
    </row>
    <row r="29" spans="1:5" ht="27.6" customHeight="1" thickBot="1" x14ac:dyDescent="0.35">
      <c r="A29" s="28">
        <v>6</v>
      </c>
      <c r="B29" s="124" t="s">
        <v>69</v>
      </c>
      <c r="C29" s="125"/>
      <c r="D29" s="126"/>
      <c r="E29" s="57">
        <v>14400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233.5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233.5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26307.119999999999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13515.84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79273.16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21161.78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32383.01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105176.09</v>
      </c>
    </row>
    <row r="46" spans="1:5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903920.2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8.25" customHeight="1" x14ac:dyDescent="0.3">
      <c r="A1" s="103" t="s">
        <v>47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98257.68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991312.17</v>
      </c>
      <c r="D4" s="36">
        <v>959364.57</v>
      </c>
      <c r="E4" s="18"/>
    </row>
    <row r="5" spans="1:5" ht="14.4" customHeight="1" x14ac:dyDescent="0.3">
      <c r="A5" s="101" t="s">
        <v>4</v>
      </c>
      <c r="B5" s="102"/>
      <c r="C5" s="35">
        <v>1254.97</v>
      </c>
      <c r="D5" s="36">
        <v>1210.45</v>
      </c>
      <c r="E5" s="18"/>
    </row>
    <row r="6" spans="1:5" ht="14.4" customHeight="1" x14ac:dyDescent="0.3">
      <c r="A6" s="101" t="s">
        <v>5</v>
      </c>
      <c r="B6" s="102"/>
      <c r="C6" s="35">
        <f>1269.91+5116.55</f>
        <v>6386.46</v>
      </c>
      <c r="D6" s="36">
        <f>1225.26+4928.74</f>
        <v>6154</v>
      </c>
      <c r="E6" s="18"/>
    </row>
    <row r="7" spans="1:5" ht="14.4" customHeight="1" x14ac:dyDescent="0.3">
      <c r="A7" s="101" t="s">
        <v>6</v>
      </c>
      <c r="B7" s="102"/>
      <c r="C7" s="35">
        <v>2121.91</v>
      </c>
      <c r="D7" s="36">
        <v>2046.71</v>
      </c>
      <c r="E7" s="18"/>
    </row>
    <row r="8" spans="1:5" ht="14.4" customHeight="1" x14ac:dyDescent="0.3">
      <c r="A8" s="107" t="s">
        <v>7</v>
      </c>
      <c r="B8" s="108"/>
      <c r="C8" s="37">
        <v>10165.84</v>
      </c>
      <c r="D8" s="38">
        <v>9747.34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1011241.35</v>
      </c>
      <c r="D9" s="40">
        <f t="shared" ref="D9" si="0">SUM(D4:D8)</f>
        <v>978523.06999999983</v>
      </c>
      <c r="E9" s="40">
        <f>D9/C9*100</f>
        <v>96.764542905608025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130975.9600000002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.6" customHeight="1" thickBot="1" x14ac:dyDescent="0.35">
      <c r="A14" s="5">
        <v>1</v>
      </c>
      <c r="B14" s="113" t="s">
        <v>63</v>
      </c>
      <c r="C14" s="114"/>
      <c r="D14" s="115"/>
      <c r="E14" s="10">
        <v>89101.23</v>
      </c>
    </row>
    <row r="15" spans="1:5" ht="42.6" customHeight="1" thickBot="1" x14ac:dyDescent="0.35">
      <c r="A15" s="5">
        <v>2</v>
      </c>
      <c r="B15" s="116" t="s">
        <v>64</v>
      </c>
      <c r="C15" s="117"/>
      <c r="D15" s="118"/>
      <c r="E15" s="8">
        <v>77028.710000000006</v>
      </c>
    </row>
    <row r="16" spans="1:5" ht="42.6" customHeight="1" x14ac:dyDescent="0.3">
      <c r="A16" s="26">
        <v>3</v>
      </c>
      <c r="B16" s="98" t="s">
        <v>65</v>
      </c>
      <c r="C16" s="99"/>
      <c r="D16" s="100"/>
      <c r="E16" s="46">
        <f>11938.96+E17+26356.38</f>
        <v>200970.63999999998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162675.29999999999</v>
      </c>
    </row>
    <row r="18" spans="1:5" x14ac:dyDescent="0.3">
      <c r="A18" s="51"/>
      <c r="B18" s="82" t="s">
        <v>127</v>
      </c>
      <c r="C18" s="83"/>
      <c r="D18" s="84"/>
      <c r="E18" s="52">
        <v>162675.29999999999</v>
      </c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2" customHeight="1" x14ac:dyDescent="0.3">
      <c r="A22" s="29">
        <v>4</v>
      </c>
      <c r="B22" s="98" t="s">
        <v>67</v>
      </c>
      <c r="C22" s="99"/>
      <c r="D22" s="100"/>
      <c r="E22" s="46">
        <f>17908.44+320531.99</f>
        <v>338440.43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13770.82</v>
      </c>
    </row>
    <row r="29" spans="1:5" ht="28.95" customHeight="1" thickBot="1" x14ac:dyDescent="0.35">
      <c r="A29" s="28">
        <v>6</v>
      </c>
      <c r="B29" s="124" t="s">
        <v>69</v>
      </c>
      <c r="C29" s="125"/>
      <c r="D29" s="126"/>
      <c r="E29" s="57">
        <v>14040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0</v>
      </c>
    </row>
    <row r="33" spans="1:5" x14ac:dyDescent="0.3">
      <c r="A33" s="61"/>
      <c r="B33" s="127" t="s">
        <v>73</v>
      </c>
      <c r="C33" s="127"/>
      <c r="D33" s="127"/>
      <c r="E33" s="13">
        <v>0</v>
      </c>
    </row>
    <row r="34" spans="1:5" ht="14.4" customHeight="1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249.5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249.5</v>
      </c>
    </row>
    <row r="39" spans="1:5" ht="14.4" customHeight="1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26391.119999999999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13515.84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79450.83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21209.200000000001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32455.58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63749.27</v>
      </c>
    </row>
    <row r="46" spans="1:5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970373.16999999981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8.25" customHeight="1" x14ac:dyDescent="0.3">
      <c r="A1" s="103" t="s">
        <v>48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92029.11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1060638.8400000001</v>
      </c>
      <c r="D4" s="36">
        <v>1023260.39</v>
      </c>
      <c r="E4" s="18"/>
    </row>
    <row r="5" spans="1:5" ht="14.4" customHeight="1" x14ac:dyDescent="0.3">
      <c r="A5" s="101" t="s">
        <v>4</v>
      </c>
      <c r="B5" s="102"/>
      <c r="C5" s="35">
        <v>1513.5</v>
      </c>
      <c r="D5" s="36">
        <v>1455.32</v>
      </c>
      <c r="E5" s="18"/>
    </row>
    <row r="6" spans="1:5" ht="14.4" customHeight="1" x14ac:dyDescent="0.3">
      <c r="A6" s="101" t="s">
        <v>5</v>
      </c>
      <c r="B6" s="102"/>
      <c r="C6" s="35">
        <f>1531.2+6686.22</f>
        <v>8217.42</v>
      </c>
      <c r="D6" s="36">
        <f>1472.81+6420.51</f>
        <v>7893.32</v>
      </c>
      <c r="E6" s="18"/>
    </row>
    <row r="7" spans="1:5" ht="14.4" customHeight="1" x14ac:dyDescent="0.3">
      <c r="A7" s="101" t="s">
        <v>6</v>
      </c>
      <c r="B7" s="102"/>
      <c r="C7" s="35">
        <v>2558.2199999999998</v>
      </c>
      <c r="D7" s="36">
        <v>2459.84</v>
      </c>
      <c r="E7" s="18"/>
    </row>
    <row r="8" spans="1:5" ht="14.4" customHeight="1" x14ac:dyDescent="0.3">
      <c r="A8" s="107" t="s">
        <v>7</v>
      </c>
      <c r="B8" s="108"/>
      <c r="C8" s="37">
        <v>12257.73</v>
      </c>
      <c r="D8" s="38">
        <v>11709.28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1085185.71</v>
      </c>
      <c r="D9" s="40">
        <f t="shared" ref="D9" si="0">SUM(D4:D8)</f>
        <v>1046778.1499999999</v>
      </c>
      <c r="E9" s="40">
        <f>D9/C9*100</f>
        <v>96.460738503458543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130436.67000000016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" customHeight="1" thickBot="1" x14ac:dyDescent="0.35">
      <c r="A14" s="5">
        <v>1</v>
      </c>
      <c r="B14" s="113" t="s">
        <v>63</v>
      </c>
      <c r="C14" s="114"/>
      <c r="D14" s="115"/>
      <c r="E14" s="10">
        <v>117191.36</v>
      </c>
    </row>
    <row r="15" spans="1:5" ht="42" customHeight="1" thickBot="1" x14ac:dyDescent="0.35">
      <c r="A15" s="5">
        <v>2</v>
      </c>
      <c r="B15" s="116" t="s">
        <v>64</v>
      </c>
      <c r="C15" s="117"/>
      <c r="D15" s="118"/>
      <c r="E15" s="8">
        <v>90627.56</v>
      </c>
    </row>
    <row r="16" spans="1:5" ht="42" customHeight="1" x14ac:dyDescent="0.3">
      <c r="A16" s="26">
        <v>3</v>
      </c>
      <c r="B16" s="98" t="s">
        <v>65</v>
      </c>
      <c r="C16" s="99"/>
      <c r="D16" s="100"/>
      <c r="E16" s="46">
        <f>10381.24+22917.56</f>
        <v>33298.800000000003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39.6" customHeight="1" x14ac:dyDescent="0.3">
      <c r="A22" s="29">
        <v>4</v>
      </c>
      <c r="B22" s="98" t="s">
        <v>67</v>
      </c>
      <c r="C22" s="99"/>
      <c r="D22" s="100"/>
      <c r="E22" s="46">
        <f>15571.85+278710.91</f>
        <v>294282.75999999995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12380.77</v>
      </c>
    </row>
    <row r="29" spans="1:5" ht="27.6" customHeight="1" thickBot="1" x14ac:dyDescent="0.35">
      <c r="A29" s="28">
        <v>6</v>
      </c>
      <c r="B29" s="124" t="s">
        <v>69</v>
      </c>
      <c r="C29" s="125"/>
      <c r="D29" s="126"/>
      <c r="E29" s="57">
        <v>10800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8973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4215</v>
      </c>
    </row>
    <row r="39" spans="1:5" ht="15" thickBot="1" x14ac:dyDescent="0.35">
      <c r="A39" s="28"/>
      <c r="B39" s="136" t="s">
        <v>78</v>
      </c>
      <c r="C39" s="136"/>
      <c r="D39" s="136"/>
      <c r="E39" s="16">
        <v>4758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23517.599999999999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10396.799999999999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69084.56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18441.96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28220.98</v>
      </c>
    </row>
    <row r="45" spans="1:5" ht="27" customHeight="1" thickBot="1" x14ac:dyDescent="0.35">
      <c r="A45" s="5">
        <v>14</v>
      </c>
      <c r="B45" s="119" t="s">
        <v>81</v>
      </c>
      <c r="C45" s="120"/>
      <c r="D45" s="121"/>
      <c r="E45" s="20">
        <v>173665.99</v>
      </c>
    </row>
    <row r="46" spans="1:5" ht="21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890882.1399999999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7" workbookViewId="0">
      <selection activeCell="E46" sqref="E46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36.75" customHeight="1" x14ac:dyDescent="0.3">
      <c r="A1" s="103" t="s">
        <v>49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201912.35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2389837.3199999998</v>
      </c>
      <c r="D4" s="36">
        <v>2309212.06</v>
      </c>
      <c r="E4" s="18"/>
    </row>
    <row r="5" spans="1:5" ht="14.4" customHeight="1" x14ac:dyDescent="0.3">
      <c r="A5" s="101" t="s">
        <v>4</v>
      </c>
      <c r="B5" s="102"/>
      <c r="C5" s="35">
        <v>4353.72</v>
      </c>
      <c r="D5" s="36">
        <v>4177.08</v>
      </c>
      <c r="E5" s="18"/>
    </row>
    <row r="6" spans="1:5" ht="14.4" customHeight="1" x14ac:dyDescent="0.3">
      <c r="A6" s="101" t="s">
        <v>5</v>
      </c>
      <c r="B6" s="102"/>
      <c r="C6" s="35">
        <f>4353.72+19254.84</f>
        <v>23608.560000000001</v>
      </c>
      <c r="D6" s="36">
        <f>4177.08+18448.92</f>
        <v>22626</v>
      </c>
      <c r="E6" s="18"/>
    </row>
    <row r="7" spans="1:5" ht="14.4" customHeight="1" x14ac:dyDescent="0.3">
      <c r="A7" s="101" t="s">
        <v>6</v>
      </c>
      <c r="B7" s="102"/>
      <c r="C7" s="35">
        <v>7360.68</v>
      </c>
      <c r="D7" s="36">
        <v>7061.91</v>
      </c>
      <c r="E7" s="18"/>
    </row>
    <row r="8" spans="1:5" ht="14.4" customHeight="1" x14ac:dyDescent="0.3">
      <c r="A8" s="107" t="s">
        <v>7</v>
      </c>
      <c r="B8" s="108"/>
      <c r="C8" s="37">
        <v>180454.26</v>
      </c>
      <c r="D8" s="38">
        <v>172047.69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2605614.54</v>
      </c>
      <c r="D9" s="40">
        <f t="shared" ref="D9" si="0">SUM(D4:D8)</f>
        <v>2515124.7400000002</v>
      </c>
      <c r="E9" s="40">
        <f>D9/C9*100</f>
        <v>96.527122542077919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292402.14999999991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2" customHeight="1" thickBot="1" x14ac:dyDescent="0.35">
      <c r="A14" s="5">
        <v>1</v>
      </c>
      <c r="B14" s="113" t="s">
        <v>63</v>
      </c>
      <c r="C14" s="114"/>
      <c r="D14" s="115"/>
      <c r="E14" s="10">
        <v>135194.07</v>
      </c>
    </row>
    <row r="15" spans="1:5" ht="43.2" customHeight="1" thickBot="1" x14ac:dyDescent="0.35">
      <c r="A15" s="5">
        <v>2</v>
      </c>
      <c r="B15" s="116" t="s">
        <v>64</v>
      </c>
      <c r="C15" s="117"/>
      <c r="D15" s="118"/>
      <c r="E15" s="8">
        <v>282459.18</v>
      </c>
    </row>
    <row r="16" spans="1:5" ht="43.2" customHeight="1" x14ac:dyDescent="0.3">
      <c r="A16" s="26">
        <v>3</v>
      </c>
      <c r="B16" s="98" t="s">
        <v>65</v>
      </c>
      <c r="C16" s="99"/>
      <c r="D16" s="100"/>
      <c r="E16" s="46">
        <f>22096.23+E17+48779.52</f>
        <v>870431.7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799555.95</v>
      </c>
    </row>
    <row r="18" spans="1:5" x14ac:dyDescent="0.3">
      <c r="A18" s="51"/>
      <c r="B18" s="82" t="s">
        <v>90</v>
      </c>
      <c r="C18" s="83"/>
      <c r="D18" s="84"/>
      <c r="E18" s="52">
        <v>799555.95</v>
      </c>
    </row>
    <row r="19" spans="1:5" x14ac:dyDescent="0.3">
      <c r="A19" s="51"/>
      <c r="B19" s="82"/>
      <c r="C19" s="122"/>
      <c r="D19" s="123"/>
      <c r="E19" s="52"/>
    </row>
    <row r="20" spans="1:5" x14ac:dyDescent="0.3">
      <c r="A20" s="51"/>
      <c r="B20" s="79"/>
      <c r="C20" s="80"/>
      <c r="D20" s="81"/>
      <c r="E20" s="53"/>
    </row>
    <row r="21" spans="1:5" ht="15" thickBot="1" x14ac:dyDescent="0.35">
      <c r="A21" s="54"/>
      <c r="B21" s="95"/>
      <c r="C21" s="96"/>
      <c r="D21" s="97"/>
      <c r="E21" s="55"/>
    </row>
    <row r="22" spans="1:5" ht="40.200000000000003" customHeight="1" x14ac:dyDescent="0.3">
      <c r="A22" s="29">
        <v>4</v>
      </c>
      <c r="B22" s="98" t="s">
        <v>67</v>
      </c>
      <c r="C22" s="99"/>
      <c r="D22" s="100"/>
      <c r="E22" s="46">
        <f>33144.35+593230.06</f>
        <v>626374.41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23041.68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19440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258445.58000000002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247009.32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11362.26</v>
      </c>
    </row>
    <row r="34" spans="1:6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18573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5133</v>
      </c>
    </row>
    <row r="39" spans="1:6" ht="15" thickBot="1" x14ac:dyDescent="0.35">
      <c r="A39" s="28"/>
      <c r="B39" s="136" t="s">
        <v>78</v>
      </c>
      <c r="C39" s="136"/>
      <c r="D39" s="136"/>
      <c r="E39" s="16">
        <v>13440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50056.43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18714.240000000002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147044.98000000001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39253.300000000003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60067.73</v>
      </c>
    </row>
    <row r="45" spans="1:6" ht="27.6" customHeight="1" thickBot="1" x14ac:dyDescent="0.35">
      <c r="A45" s="5">
        <v>14</v>
      </c>
      <c r="B45" s="119" t="s">
        <v>81</v>
      </c>
      <c r="C45" s="120"/>
      <c r="D45" s="121"/>
      <c r="E45" s="20">
        <v>218902.04</v>
      </c>
      <c r="F45" s="74"/>
    </row>
    <row r="46" spans="1:6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2767998.34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2" zoomScale="94" zoomScaleNormal="94" workbookViewId="0">
      <selection activeCell="E46" sqref="E46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.5546875" bestFit="1" customWidth="1"/>
  </cols>
  <sheetData>
    <row r="1" spans="1:5" ht="39" customHeight="1" x14ac:dyDescent="0.3">
      <c r="A1" s="103" t="s">
        <v>50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310190.46999999997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3253196.16</v>
      </c>
      <c r="D4" s="36">
        <v>3161071.73</v>
      </c>
      <c r="E4" s="18"/>
    </row>
    <row r="5" spans="1:5" ht="14.4" customHeight="1" x14ac:dyDescent="0.3">
      <c r="A5" s="101" t="s">
        <v>4</v>
      </c>
      <c r="B5" s="102"/>
      <c r="C5" s="35">
        <v>5797.74</v>
      </c>
      <c r="D5" s="36">
        <v>5613.46</v>
      </c>
      <c r="E5" s="18"/>
    </row>
    <row r="6" spans="1:5" ht="14.4" customHeight="1" x14ac:dyDescent="0.3">
      <c r="A6" s="101" t="s">
        <v>5</v>
      </c>
      <c r="B6" s="102"/>
      <c r="C6" s="35">
        <f>5797.74+25635.92</f>
        <v>31433.659999999996</v>
      </c>
      <c r="D6" s="36">
        <f>5613.46+24785.99</f>
        <v>30399.45</v>
      </c>
      <c r="E6" s="18"/>
    </row>
    <row r="7" spans="1:5" ht="14.4" customHeight="1" x14ac:dyDescent="0.3">
      <c r="A7" s="101" t="s">
        <v>6</v>
      </c>
      <c r="B7" s="102"/>
      <c r="C7" s="35">
        <v>9797.1</v>
      </c>
      <c r="D7" s="36">
        <v>9485.61</v>
      </c>
      <c r="E7" s="18"/>
    </row>
    <row r="8" spans="1:5" ht="14.4" customHeight="1" x14ac:dyDescent="0.3">
      <c r="A8" s="107" t="s">
        <v>7</v>
      </c>
      <c r="B8" s="108"/>
      <c r="C8" s="37">
        <v>240263.67</v>
      </c>
      <c r="D8" s="38">
        <v>231015.04000000001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3540488.3300000005</v>
      </c>
      <c r="D9" s="40">
        <f t="shared" ref="D9" si="0">SUM(D4:D8)</f>
        <v>3437585.29</v>
      </c>
      <c r="E9" s="40">
        <f>D9/C9*100</f>
        <v>97.093535399395009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413093.51000000071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0.200000000000003" customHeight="1" thickBot="1" x14ac:dyDescent="0.35">
      <c r="A14" s="5">
        <v>1</v>
      </c>
      <c r="B14" s="113" t="s">
        <v>63</v>
      </c>
      <c r="C14" s="114"/>
      <c r="D14" s="115"/>
      <c r="E14" s="10">
        <v>187282.02</v>
      </c>
    </row>
    <row r="15" spans="1:5" ht="40.200000000000003" customHeight="1" thickBot="1" x14ac:dyDescent="0.35">
      <c r="A15" s="5">
        <v>2</v>
      </c>
      <c r="B15" s="116" t="s">
        <v>64</v>
      </c>
      <c r="C15" s="117"/>
      <c r="D15" s="118"/>
      <c r="E15" s="8">
        <v>376077.63</v>
      </c>
    </row>
    <row r="16" spans="1:5" ht="40.200000000000003" customHeight="1" x14ac:dyDescent="0.3">
      <c r="A16" s="26">
        <v>3</v>
      </c>
      <c r="B16" s="98" t="s">
        <v>65</v>
      </c>
      <c r="C16" s="99"/>
      <c r="D16" s="100"/>
      <c r="E16" s="46">
        <f>30078.78+E17+66401.74</f>
        <v>1197367.52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1100887</v>
      </c>
    </row>
    <row r="18" spans="1:5" x14ac:dyDescent="0.3">
      <c r="A18" s="51"/>
      <c r="B18" s="82" t="s">
        <v>91</v>
      </c>
      <c r="C18" s="83"/>
      <c r="D18" s="84"/>
      <c r="E18" s="52">
        <v>643016.09</v>
      </c>
    </row>
    <row r="19" spans="1:5" x14ac:dyDescent="0.3">
      <c r="A19" s="51"/>
      <c r="B19" s="82" t="s">
        <v>98</v>
      </c>
      <c r="C19" s="122"/>
      <c r="D19" s="123"/>
      <c r="E19" s="52">
        <v>476.33</v>
      </c>
    </row>
    <row r="20" spans="1:5" x14ac:dyDescent="0.3">
      <c r="A20" s="51"/>
      <c r="B20" s="79" t="s">
        <v>113</v>
      </c>
      <c r="C20" s="80"/>
      <c r="D20" s="81"/>
      <c r="E20" s="53">
        <v>457394.58</v>
      </c>
    </row>
    <row r="21" spans="1:5" ht="15" thickBot="1" x14ac:dyDescent="0.35">
      <c r="A21" s="54"/>
      <c r="B21" s="95"/>
      <c r="C21" s="96"/>
      <c r="D21" s="97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45118.16+807541.9</f>
        <v>852660.06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2"/>
      <c r="C24" s="83"/>
      <c r="D24" s="84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28413.360000000001</v>
      </c>
    </row>
    <row r="29" spans="1:5" ht="28.95" customHeight="1" thickBot="1" x14ac:dyDescent="0.35">
      <c r="A29" s="28">
        <v>6</v>
      </c>
      <c r="B29" s="124" t="s">
        <v>69</v>
      </c>
      <c r="C29" s="125"/>
      <c r="D29" s="126"/>
      <c r="E29" s="57">
        <v>29160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258445.58000000002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ht="15" customHeight="1" x14ac:dyDescent="0.3">
      <c r="A32" s="51"/>
      <c r="B32" s="127" t="s">
        <v>72</v>
      </c>
      <c r="C32" s="127"/>
      <c r="D32" s="127"/>
      <c r="E32" s="13">
        <v>247009.32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11362.26</v>
      </c>
    </row>
    <row r="34" spans="1:6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5778.7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5778.7</v>
      </c>
    </row>
    <row r="39" spans="1:6" ht="15" thickBot="1" x14ac:dyDescent="0.35">
      <c r="A39" s="28"/>
      <c r="B39" s="136" t="s">
        <v>78</v>
      </c>
      <c r="C39" s="136"/>
      <c r="D39" s="136"/>
      <c r="E39" s="16">
        <v>0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68139.95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27898.080000000002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200166.83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53434.05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81767.95</v>
      </c>
    </row>
    <row r="45" spans="1:6" ht="27.6" customHeight="1" thickBot="1" x14ac:dyDescent="0.35">
      <c r="A45" s="5">
        <v>14</v>
      </c>
      <c r="B45" s="119" t="s">
        <v>81</v>
      </c>
      <c r="C45" s="120"/>
      <c r="D45" s="121"/>
      <c r="E45" s="20">
        <v>290514.67</v>
      </c>
      <c r="F45" s="74"/>
    </row>
    <row r="46" spans="1:6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3657106.4000000004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9" zoomScaleNormal="100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6.109375" style="2" customWidth="1"/>
    <col min="3" max="3" width="13" style="3" customWidth="1"/>
    <col min="4" max="4" width="12.33203125" style="3" customWidth="1"/>
    <col min="5" max="5" width="15.6640625" customWidth="1"/>
    <col min="6" max="6" width="10" bestFit="1" customWidth="1"/>
  </cols>
  <sheetData>
    <row r="1" spans="1:5" ht="38.25" customHeight="1" x14ac:dyDescent="0.3">
      <c r="A1" s="103" t="s">
        <v>13</v>
      </c>
      <c r="B1" s="103"/>
      <c r="C1" s="103"/>
      <c r="D1" s="103"/>
      <c r="E1" s="103"/>
    </row>
    <row r="2" spans="1:5" ht="15" thickBot="1" x14ac:dyDescent="0.35">
      <c r="A2" s="106" t="s">
        <v>59</v>
      </c>
      <c r="B2" s="106"/>
      <c r="C2" s="106"/>
      <c r="D2" s="106"/>
      <c r="E2" s="31">
        <v>511295.34</v>
      </c>
    </row>
    <row r="3" spans="1:5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5" customHeight="1" x14ac:dyDescent="0.3">
      <c r="A4" s="101" t="s">
        <v>3</v>
      </c>
      <c r="B4" s="102"/>
      <c r="C4" s="35">
        <v>4684067.04</v>
      </c>
      <c r="D4" s="36">
        <v>4434483.09</v>
      </c>
      <c r="E4" s="18"/>
    </row>
    <row r="5" spans="1:5" ht="14.4" customHeight="1" x14ac:dyDescent="0.3">
      <c r="A5" s="101" t="s">
        <v>4</v>
      </c>
      <c r="B5" s="102"/>
      <c r="C5" s="35">
        <v>7450.74</v>
      </c>
      <c r="D5" s="36">
        <v>6981.94</v>
      </c>
      <c r="E5" s="18"/>
    </row>
    <row r="6" spans="1:5" ht="14.4" customHeight="1" x14ac:dyDescent="0.3">
      <c r="A6" s="101" t="s">
        <v>5</v>
      </c>
      <c r="B6" s="102"/>
      <c r="C6" s="35">
        <f>7450.74+32961.6</f>
        <v>40412.339999999997</v>
      </c>
      <c r="D6" s="36">
        <f>6981.94+30840.05</f>
        <v>37821.99</v>
      </c>
      <c r="E6" s="18"/>
    </row>
    <row r="7" spans="1:5" ht="14.4" customHeight="1" x14ac:dyDescent="0.3">
      <c r="A7" s="101" t="s">
        <v>6</v>
      </c>
      <c r="B7" s="102"/>
      <c r="C7" s="35">
        <v>12599.94</v>
      </c>
      <c r="D7" s="36">
        <v>11806.99</v>
      </c>
      <c r="E7" s="18"/>
    </row>
    <row r="8" spans="1:5" ht="14.4" customHeight="1" x14ac:dyDescent="0.3">
      <c r="A8" s="107" t="s">
        <v>7</v>
      </c>
      <c r="B8" s="108"/>
      <c r="C8" s="37">
        <v>308913.45</v>
      </c>
      <c r="D8" s="38">
        <v>287467.76</v>
      </c>
      <c r="E8" s="39"/>
    </row>
    <row r="9" spans="1:5" ht="14.4" customHeight="1" thickBot="1" x14ac:dyDescent="0.35">
      <c r="A9" s="109" t="s">
        <v>8</v>
      </c>
      <c r="B9" s="110"/>
      <c r="C9" s="40">
        <f>SUM(C4:C8)</f>
        <v>5053443.5100000007</v>
      </c>
      <c r="D9" s="40">
        <f t="shared" ref="D9" si="0">SUM(D4:D8)</f>
        <v>4778561.7700000005</v>
      </c>
      <c r="E9" s="40">
        <f>D9/C9*100</f>
        <v>94.560506326902612</v>
      </c>
    </row>
    <row r="10" spans="1:5" x14ac:dyDescent="0.3">
      <c r="A10" s="112" t="s">
        <v>60</v>
      </c>
      <c r="B10" s="112"/>
      <c r="C10" s="112"/>
      <c r="D10" s="112"/>
      <c r="E10" s="41">
        <f>E2+C9-D9</f>
        <v>786177.08000000007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2" customHeight="1" thickBot="1" x14ac:dyDescent="0.35">
      <c r="A14" s="5">
        <v>1</v>
      </c>
      <c r="B14" s="113" t="s">
        <v>63</v>
      </c>
      <c r="C14" s="114"/>
      <c r="D14" s="115"/>
      <c r="E14" s="10">
        <v>280793.12</v>
      </c>
    </row>
    <row r="15" spans="1:5" ht="43.2" customHeight="1" thickBot="1" x14ac:dyDescent="0.35">
      <c r="A15" s="5">
        <v>2</v>
      </c>
      <c r="B15" s="116" t="s">
        <v>64</v>
      </c>
      <c r="C15" s="117"/>
      <c r="D15" s="118"/>
      <c r="E15" s="8">
        <v>477376.52</v>
      </c>
    </row>
    <row r="16" spans="1:5" ht="43.2" customHeight="1" x14ac:dyDescent="0.3">
      <c r="A16" s="26">
        <v>3</v>
      </c>
      <c r="B16" s="98" t="s">
        <v>65</v>
      </c>
      <c r="C16" s="99"/>
      <c r="D16" s="100"/>
      <c r="E16" s="46">
        <f>43365.96+E17+95734.45</f>
        <v>881453.14999999991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742352.74</v>
      </c>
    </row>
    <row r="18" spans="1:5" x14ac:dyDescent="0.3">
      <c r="A18" s="51"/>
      <c r="B18" s="82" t="s">
        <v>93</v>
      </c>
      <c r="C18" s="155"/>
      <c r="D18" s="156"/>
      <c r="E18" s="52">
        <f>191025.56+90017.06+109014.35+36668.94+26722.78+49676.63+239227.42</f>
        <v>742352.74</v>
      </c>
    </row>
    <row r="19" spans="1:5" x14ac:dyDescent="0.3">
      <c r="A19" s="51"/>
      <c r="B19" s="82"/>
      <c r="C19" s="122"/>
      <c r="D19" s="123"/>
      <c r="E19" s="52"/>
    </row>
    <row r="20" spans="1:5" x14ac:dyDescent="0.3">
      <c r="A20" s="51"/>
      <c r="B20" s="79"/>
      <c r="C20" s="80"/>
      <c r="D20" s="81"/>
      <c r="E20" s="53"/>
    </row>
    <row r="21" spans="1:5" ht="15" thickBot="1" x14ac:dyDescent="0.35">
      <c r="A21" s="54"/>
      <c r="B21" s="95"/>
      <c r="C21" s="96"/>
      <c r="D21" s="97"/>
      <c r="E21" s="55"/>
    </row>
    <row r="22" spans="1:5" ht="43.2" customHeight="1" x14ac:dyDescent="0.3">
      <c r="A22" s="29">
        <v>4</v>
      </c>
      <c r="B22" s="98" t="s">
        <v>67</v>
      </c>
      <c r="C22" s="99"/>
      <c r="D22" s="100"/>
      <c r="E22" s="46">
        <f>65048.93+E23+1164270.37</f>
        <v>1319153.25</v>
      </c>
    </row>
    <row r="23" spans="1:5" ht="16.5" customHeight="1" x14ac:dyDescent="0.3">
      <c r="A23" s="27"/>
      <c r="B23" s="47" t="s">
        <v>66</v>
      </c>
      <c r="C23" s="48"/>
      <c r="D23" s="49"/>
      <c r="E23" s="50">
        <f>SUM(E24:E27)</f>
        <v>89833.949999999983</v>
      </c>
    </row>
    <row r="24" spans="1:5" x14ac:dyDescent="0.3">
      <c r="A24" s="51"/>
      <c r="B24" s="82" t="s">
        <v>105</v>
      </c>
      <c r="C24" s="83"/>
      <c r="D24" s="84"/>
      <c r="E24" s="52">
        <v>20984.9</v>
      </c>
    </row>
    <row r="25" spans="1:5" x14ac:dyDescent="0.3">
      <c r="A25" s="51"/>
      <c r="B25" s="82" t="s">
        <v>143</v>
      </c>
      <c r="C25" s="122"/>
      <c r="D25" s="123"/>
      <c r="E25" s="52">
        <v>46777.84</v>
      </c>
    </row>
    <row r="26" spans="1:5" x14ac:dyDescent="0.3">
      <c r="A26" s="51"/>
      <c r="B26" s="82" t="s">
        <v>96</v>
      </c>
      <c r="C26" s="122"/>
      <c r="D26" s="123"/>
      <c r="E26" s="53">
        <v>22071.21</v>
      </c>
    </row>
    <row r="27" spans="1:5" ht="15" thickBot="1" x14ac:dyDescent="0.35">
      <c r="A27" s="56"/>
      <c r="B27" s="92"/>
      <c r="C27" s="93"/>
      <c r="D27" s="94"/>
      <c r="E27" s="19"/>
    </row>
    <row r="28" spans="1:5" ht="15" customHeight="1" thickBot="1" x14ac:dyDescent="0.35">
      <c r="A28" s="5">
        <v>5</v>
      </c>
      <c r="B28" s="91" t="s">
        <v>68</v>
      </c>
      <c r="C28" s="91"/>
      <c r="D28" s="91"/>
      <c r="E28" s="17">
        <v>31334.799999999999</v>
      </c>
    </row>
    <row r="29" spans="1:5" ht="26.4" customHeight="1" thickBot="1" x14ac:dyDescent="0.35">
      <c r="A29" s="28">
        <v>6</v>
      </c>
      <c r="B29" s="124" t="s">
        <v>69</v>
      </c>
      <c r="C29" s="125"/>
      <c r="D29" s="126"/>
      <c r="E29" s="57">
        <v>19440</v>
      </c>
    </row>
    <row r="30" spans="1:5" ht="15" customHeight="1" x14ac:dyDescent="0.3">
      <c r="A30" s="26">
        <v>7</v>
      </c>
      <c r="B30" s="130" t="s">
        <v>70</v>
      </c>
      <c r="C30" s="131"/>
      <c r="D30" s="132"/>
      <c r="E30" s="58">
        <f>SUM(E32:E35)</f>
        <v>520604.58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494018.64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26511.94</v>
      </c>
    </row>
    <row r="34" spans="1:6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10670.300000000001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x14ac:dyDescent="0.3">
      <c r="A38" s="27"/>
      <c r="B38" s="129" t="s">
        <v>77</v>
      </c>
      <c r="C38" s="129"/>
      <c r="D38" s="129"/>
      <c r="E38" s="13">
        <v>9280.1</v>
      </c>
    </row>
    <row r="39" spans="1:6" ht="15" thickBot="1" x14ac:dyDescent="0.35">
      <c r="A39" s="28"/>
      <c r="B39" s="136" t="s">
        <v>78</v>
      </c>
      <c r="C39" s="136"/>
      <c r="D39" s="136"/>
      <c r="E39" s="16">
        <v>1390.2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89934.46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37601.760000000002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288589.74</v>
      </c>
    </row>
    <row r="43" spans="1:6" ht="14.4" customHeight="1" thickBot="1" x14ac:dyDescent="0.35">
      <c r="A43" s="9">
        <v>12</v>
      </c>
      <c r="B43" s="76" t="s">
        <v>79</v>
      </c>
      <c r="C43" s="77"/>
      <c r="D43" s="78"/>
      <c r="E43" s="17">
        <v>77038.33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117888.62</v>
      </c>
    </row>
    <row r="45" spans="1:6" ht="27.6" customHeight="1" thickBot="1" x14ac:dyDescent="0.35">
      <c r="A45" s="5">
        <v>14</v>
      </c>
      <c r="B45" s="119" t="s">
        <v>81</v>
      </c>
      <c r="C45" s="120"/>
      <c r="D45" s="121"/>
      <c r="E45" s="20">
        <v>369376.47</v>
      </c>
      <c r="F45" s="74"/>
    </row>
    <row r="46" spans="1:6" ht="19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4521255.0999999996</v>
      </c>
    </row>
  </sheetData>
  <mergeCells count="39">
    <mergeCell ref="B44:D44"/>
    <mergeCell ref="B45:D45"/>
    <mergeCell ref="B39:D39"/>
    <mergeCell ref="B40:D40"/>
    <mergeCell ref="B41:D41"/>
    <mergeCell ref="B42:D42"/>
    <mergeCell ref="B43:D43"/>
    <mergeCell ref="B34:D34"/>
    <mergeCell ref="B35:D35"/>
    <mergeCell ref="B36:D36"/>
    <mergeCell ref="B38:D38"/>
    <mergeCell ref="B16:D16"/>
    <mergeCell ref="B18:D18"/>
    <mergeCell ref="B19:D19"/>
    <mergeCell ref="B20:D20"/>
    <mergeCell ref="B21:D21"/>
    <mergeCell ref="B22:D22"/>
    <mergeCell ref="B24:D24"/>
    <mergeCell ref="B25:D25"/>
    <mergeCell ref="B26:D26"/>
    <mergeCell ref="B27:D27"/>
    <mergeCell ref="B28:D28"/>
    <mergeCell ref="B29:D29"/>
    <mergeCell ref="A6:B6"/>
    <mergeCell ref="A1:E1"/>
    <mergeCell ref="A3:B3"/>
    <mergeCell ref="A4:B4"/>
    <mergeCell ref="A5:B5"/>
    <mergeCell ref="A2:D2"/>
    <mergeCell ref="B30:D30"/>
    <mergeCell ref="B32:D32"/>
    <mergeCell ref="B33:D33"/>
    <mergeCell ref="A7:B7"/>
    <mergeCell ref="A8:B8"/>
    <mergeCell ref="A9:B9"/>
    <mergeCell ref="A10:D10"/>
    <mergeCell ref="B13:D13"/>
    <mergeCell ref="B14:D14"/>
    <mergeCell ref="B15:D15"/>
  </mergeCells>
  <pageMargins left="0.11811023622047245" right="0.11811023622047245" top="0.15748031496062992" bottom="0.35433070866141736" header="0.31496062992125984" footer="0.31496062992125984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workbookViewId="0">
      <selection activeCell="K16" sqref="K16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0.5" customHeight="1" x14ac:dyDescent="0.3">
      <c r="A1" s="103" t="s">
        <v>51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385103.68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3899063.02</v>
      </c>
      <c r="D4" s="36">
        <v>3703965.53</v>
      </c>
      <c r="E4" s="18"/>
    </row>
    <row r="5" spans="1:5" ht="14.4" customHeight="1" x14ac:dyDescent="0.3">
      <c r="A5" s="101" t="s">
        <v>4</v>
      </c>
      <c r="B5" s="102"/>
      <c r="C5" s="35">
        <v>6272.34</v>
      </c>
      <c r="D5" s="36">
        <v>5884.88</v>
      </c>
      <c r="E5" s="18"/>
    </row>
    <row r="6" spans="1:5" ht="14.4" customHeight="1" x14ac:dyDescent="0.3">
      <c r="A6" s="101" t="s">
        <v>5</v>
      </c>
      <c r="B6" s="102"/>
      <c r="C6" s="35">
        <f>6272.34+27739.2</f>
        <v>34011.54</v>
      </c>
      <c r="D6" s="36">
        <f>5901.68+26000.43</f>
        <v>31902.11</v>
      </c>
      <c r="E6" s="18"/>
    </row>
    <row r="7" spans="1:5" ht="14.4" customHeight="1" x14ac:dyDescent="0.3">
      <c r="A7" s="101" t="s">
        <v>6</v>
      </c>
      <c r="B7" s="102"/>
      <c r="C7" s="35">
        <v>10602.48</v>
      </c>
      <c r="D7" s="36">
        <v>9975.25</v>
      </c>
      <c r="E7" s="18"/>
    </row>
    <row r="8" spans="1:5" ht="14.4" customHeight="1" x14ac:dyDescent="0.3">
      <c r="A8" s="107" t="s">
        <v>7</v>
      </c>
      <c r="B8" s="108"/>
      <c r="C8" s="37">
        <v>259841.57</v>
      </c>
      <c r="D8" s="38">
        <v>243544.43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4209790.95</v>
      </c>
      <c r="D9" s="40">
        <f t="shared" ref="D9" si="0">SUM(D4:D8)</f>
        <v>3995272.1999999997</v>
      </c>
      <c r="E9" s="40">
        <f>D9/C9*100</f>
        <v>94.90428972488526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599622.43000000017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95" customHeight="1" thickBot="1" x14ac:dyDescent="0.35">
      <c r="A14" s="5">
        <v>1</v>
      </c>
      <c r="B14" s="113" t="s">
        <v>63</v>
      </c>
      <c r="C14" s="114"/>
      <c r="D14" s="115"/>
      <c r="E14" s="10">
        <v>328799.18</v>
      </c>
    </row>
    <row r="15" spans="1:5" ht="43.95" customHeight="1" thickBot="1" x14ac:dyDescent="0.35">
      <c r="A15" s="5">
        <v>2</v>
      </c>
      <c r="B15" s="116" t="s">
        <v>64</v>
      </c>
      <c r="C15" s="117"/>
      <c r="D15" s="118"/>
      <c r="E15" s="8">
        <v>407587.95</v>
      </c>
    </row>
    <row r="16" spans="1:5" ht="43.95" customHeight="1" x14ac:dyDescent="0.3">
      <c r="A16" s="26">
        <v>3</v>
      </c>
      <c r="B16" s="98" t="s">
        <v>65</v>
      </c>
      <c r="C16" s="99"/>
      <c r="D16" s="100"/>
      <c r="E16" s="46">
        <f>36127.61+E17+79755.11</f>
        <v>318068.37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202185.65</v>
      </c>
    </row>
    <row r="18" spans="1:5" x14ac:dyDescent="0.3">
      <c r="A18" s="51"/>
      <c r="B18" s="82" t="s">
        <v>119</v>
      </c>
      <c r="C18" s="83"/>
      <c r="D18" s="84"/>
      <c r="E18" s="52">
        <f>18011.57+133913.33+45057.24+5203.51</f>
        <v>202185.65</v>
      </c>
    </row>
    <row r="19" spans="1:5" x14ac:dyDescent="0.3">
      <c r="A19" s="51"/>
      <c r="B19" s="82"/>
      <c r="C19" s="122"/>
      <c r="D19" s="123"/>
      <c r="E19" s="52"/>
    </row>
    <row r="20" spans="1:5" x14ac:dyDescent="0.3">
      <c r="A20" s="51"/>
      <c r="B20" s="79"/>
      <c r="C20" s="80"/>
      <c r="D20" s="81"/>
      <c r="E20" s="53"/>
    </row>
    <row r="21" spans="1:5" ht="15" thickBot="1" x14ac:dyDescent="0.35">
      <c r="A21" s="54"/>
      <c r="B21" s="95"/>
      <c r="C21" s="96"/>
      <c r="D21" s="97"/>
      <c r="E21" s="55"/>
    </row>
    <row r="22" spans="1:5" ht="40.200000000000003" customHeight="1" x14ac:dyDescent="0.3">
      <c r="A22" s="29">
        <v>4</v>
      </c>
      <c r="B22" s="98" t="s">
        <v>67</v>
      </c>
      <c r="C22" s="99"/>
      <c r="D22" s="100"/>
      <c r="E22" s="46">
        <f>54191.41+969938.27</f>
        <v>1024129.68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26917.3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32220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426905.88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411682.2</v>
      </c>
    </row>
    <row r="33" spans="1:5" x14ac:dyDescent="0.3">
      <c r="A33" s="61"/>
      <c r="B33" s="127" t="s">
        <v>73</v>
      </c>
      <c r="C33" s="127"/>
      <c r="D33" s="127"/>
      <c r="E33" s="13">
        <v>15149.68</v>
      </c>
    </row>
    <row r="34" spans="1:5" ht="14.4" customHeight="1" x14ac:dyDescent="0.3">
      <c r="A34" s="30"/>
      <c r="B34" s="133" t="s">
        <v>74</v>
      </c>
      <c r="C34" s="134"/>
      <c r="D34" s="135"/>
      <c r="E34" s="13">
        <v>74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6.4" customHeight="1" x14ac:dyDescent="0.3">
      <c r="A36" s="26">
        <v>8</v>
      </c>
      <c r="B36" s="98" t="s">
        <v>76</v>
      </c>
      <c r="C36" s="99"/>
      <c r="D36" s="100"/>
      <c r="E36" s="58">
        <f>SUM(E38:E39)</f>
        <v>13630.8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1702.8</v>
      </c>
    </row>
    <row r="39" spans="1:5" ht="14.4" customHeight="1" thickBot="1" x14ac:dyDescent="0.35">
      <c r="A39" s="28"/>
      <c r="B39" s="136" t="s">
        <v>78</v>
      </c>
      <c r="C39" s="136"/>
      <c r="D39" s="136"/>
      <c r="E39" s="16">
        <v>11928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81712.67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31190.400000000001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240420.3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64179.61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98211.46</v>
      </c>
    </row>
    <row r="45" spans="1:5" ht="28.95" customHeight="1" thickBot="1" x14ac:dyDescent="0.35">
      <c r="A45" s="5">
        <v>14</v>
      </c>
      <c r="B45" s="119" t="s">
        <v>81</v>
      </c>
      <c r="C45" s="120"/>
      <c r="D45" s="121"/>
      <c r="E45" s="20">
        <v>314988.46999999997</v>
      </c>
    </row>
    <row r="46" spans="1:5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3408962.0699999994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7" workbookViewId="0">
      <selection activeCell="C4" sqref="C4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.75" customHeight="1" x14ac:dyDescent="0.3">
      <c r="A1" s="103" t="s">
        <v>17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80920.11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787908.84+134538.06</f>
        <v>922446.89999999991</v>
      </c>
      <c r="D4" s="36">
        <f>740646.51+133317.84</f>
        <v>873964.35</v>
      </c>
      <c r="E4" s="18"/>
    </row>
    <row r="5" spans="1:5" ht="14.4" customHeight="1" x14ac:dyDescent="0.3">
      <c r="A5" s="101" t="s">
        <v>4</v>
      </c>
      <c r="B5" s="102"/>
      <c r="C5" s="35">
        <v>782.52</v>
      </c>
      <c r="D5" s="36">
        <v>732.9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661.56</v>
      </c>
      <c r="D7" s="36">
        <v>619.76</v>
      </c>
      <c r="E7" s="18"/>
    </row>
    <row r="8" spans="1:5" ht="14.4" customHeight="1" x14ac:dyDescent="0.3">
      <c r="A8" s="107" t="s">
        <v>7</v>
      </c>
      <c r="B8" s="108"/>
      <c r="C8" s="37">
        <v>8244.24</v>
      </c>
      <c r="D8" s="38">
        <v>7672.66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932135.22</v>
      </c>
      <c r="D9" s="40">
        <f t="shared" ref="D9" si="0">SUM(D4:D8)</f>
        <v>882989.67</v>
      </c>
      <c r="E9" s="40">
        <f>D9/C9*100</f>
        <v>94.727637262756801</v>
      </c>
    </row>
    <row r="10" spans="1:5" ht="19.5" customHeight="1" x14ac:dyDescent="0.3">
      <c r="A10" s="112" t="s">
        <v>60</v>
      </c>
      <c r="B10" s="112"/>
      <c r="C10" s="112"/>
      <c r="D10" s="112"/>
      <c r="E10" s="41">
        <f>E2+C9-D9</f>
        <v>130065.65999999992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82384.97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76210.259999999995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11807.7+26066.61</f>
        <v>37874.31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17711.54+E23+317007.91</f>
        <v>352706.51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17987.060000000001</v>
      </c>
    </row>
    <row r="24" spans="1:5" x14ac:dyDescent="0.3">
      <c r="A24" s="51"/>
      <c r="B24" s="82" t="s">
        <v>105</v>
      </c>
      <c r="C24" s="83"/>
      <c r="D24" s="84"/>
      <c r="E24" s="52">
        <v>17987.060000000001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14654.4</v>
      </c>
    </row>
    <row r="29" spans="1:5" ht="26.4" customHeight="1" thickBot="1" x14ac:dyDescent="0.35">
      <c r="A29" s="28">
        <v>6</v>
      </c>
      <c r="B29" s="124" t="s">
        <v>69</v>
      </c>
      <c r="C29" s="125"/>
      <c r="D29" s="126"/>
      <c r="E29" s="57">
        <v>34560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269.5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269.5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21393.96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11089.92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78577.31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20976.02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32098.75</v>
      </c>
    </row>
    <row r="45" spans="1:5" ht="27" customHeight="1" thickBot="1" x14ac:dyDescent="0.35">
      <c r="A45" s="5">
        <v>14</v>
      </c>
      <c r="B45" s="119" t="s">
        <v>81</v>
      </c>
      <c r="C45" s="120"/>
      <c r="D45" s="121"/>
      <c r="E45" s="20">
        <v>12124.17</v>
      </c>
    </row>
    <row r="46" spans="1:5" ht="22.2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774920.08000000019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7" workbookViewId="0">
      <selection activeCell="P21" sqref="P21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41.25" customHeight="1" x14ac:dyDescent="0.3">
      <c r="A1" s="103" t="s">
        <v>52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222630.31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2269124.04</v>
      </c>
      <c r="D4" s="36">
        <v>2098438.17</v>
      </c>
      <c r="E4" s="18"/>
    </row>
    <row r="5" spans="1:5" ht="14.4" customHeight="1" x14ac:dyDescent="0.3">
      <c r="A5" s="101" t="s">
        <v>4</v>
      </c>
      <c r="B5" s="102"/>
      <c r="C5" s="35">
        <v>2864.58</v>
      </c>
      <c r="D5" s="36">
        <v>2640.63</v>
      </c>
      <c r="E5" s="18"/>
    </row>
    <row r="6" spans="1:5" ht="14.4" customHeight="1" x14ac:dyDescent="0.3">
      <c r="A6" s="101" t="s">
        <v>5</v>
      </c>
      <c r="B6" s="102"/>
      <c r="C6" s="35">
        <f>2864.58+12668.61</f>
        <v>15533.19</v>
      </c>
      <c r="D6" s="36">
        <f>2640.63+11664.54</f>
        <v>14305.170000000002</v>
      </c>
      <c r="E6" s="18"/>
    </row>
    <row r="7" spans="1:5" ht="14.4" customHeight="1" x14ac:dyDescent="0.3">
      <c r="A7" s="101" t="s">
        <v>6</v>
      </c>
      <c r="B7" s="102"/>
      <c r="C7" s="35">
        <v>4842.3599999999997</v>
      </c>
      <c r="D7" s="36">
        <v>4464.1000000000004</v>
      </c>
      <c r="E7" s="18"/>
    </row>
    <row r="8" spans="1:5" ht="14.4" customHeight="1" x14ac:dyDescent="0.3">
      <c r="A8" s="107" t="s">
        <v>7</v>
      </c>
      <c r="B8" s="108"/>
      <c r="C8" s="37">
        <v>118734.09</v>
      </c>
      <c r="D8" s="38">
        <v>108790.26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2411098.2599999998</v>
      </c>
      <c r="D9" s="40">
        <f t="shared" ref="D9" si="0">SUM(D4:D8)</f>
        <v>2228638.3299999996</v>
      </c>
      <c r="E9" s="40">
        <f>D9/C9*100</f>
        <v>92.432497130996211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405090.24000000022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284502.71000000002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185851.04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20980.13+E17+46315.62</f>
        <v>118836.30000000002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51540.55</v>
      </c>
    </row>
    <row r="18" spans="1:5" x14ac:dyDescent="0.3">
      <c r="A18" s="51"/>
      <c r="B18" s="82" t="s">
        <v>133</v>
      </c>
      <c r="C18" s="83"/>
      <c r="D18" s="84"/>
      <c r="E18" s="52">
        <v>51540.55</v>
      </c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31470.2+563265.43</f>
        <v>594735.63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18388.560000000001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19260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247083.32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ht="15" customHeight="1" x14ac:dyDescent="0.3">
      <c r="A32" s="51"/>
      <c r="B32" s="127" t="s">
        <v>72</v>
      </c>
      <c r="C32" s="127"/>
      <c r="D32" s="127"/>
      <c r="E32" s="13">
        <v>247009.32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8648.1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4871.1000000000004</v>
      </c>
    </row>
    <row r="39" spans="1:6" ht="15" thickBot="1" x14ac:dyDescent="0.35">
      <c r="A39" s="28"/>
      <c r="B39" s="136" t="s">
        <v>78</v>
      </c>
      <c r="C39" s="136"/>
      <c r="D39" s="136"/>
      <c r="E39" s="16">
        <v>3777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47528.03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18714.240000000002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139617.59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37270.58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57033.65</v>
      </c>
    </row>
    <row r="45" spans="1:6" ht="27" customHeight="1" thickBot="1" x14ac:dyDescent="0.35">
      <c r="A45" s="5">
        <v>14</v>
      </c>
      <c r="B45" s="119" t="s">
        <v>81</v>
      </c>
      <c r="C45" s="120"/>
      <c r="D45" s="121"/>
      <c r="E45" s="20">
        <v>141974.22</v>
      </c>
      <c r="F45" s="74"/>
    </row>
    <row r="46" spans="1:6" ht="20.399999999999999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1919443.9700000004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3.5" customHeight="1" x14ac:dyDescent="0.3">
      <c r="A1" s="103" t="s">
        <v>53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372733.02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3862255.8</v>
      </c>
      <c r="D4" s="36">
        <v>3739291.66</v>
      </c>
      <c r="E4" s="18"/>
    </row>
    <row r="5" spans="1:5" ht="14.4" customHeight="1" x14ac:dyDescent="0.3">
      <c r="A5" s="101" t="s">
        <v>4</v>
      </c>
      <c r="B5" s="102"/>
      <c r="C5" s="35">
        <v>5928.24</v>
      </c>
      <c r="D5" s="36">
        <v>5719.09</v>
      </c>
      <c r="E5" s="18"/>
    </row>
    <row r="6" spans="1:5" ht="14.4" customHeight="1" x14ac:dyDescent="0.3">
      <c r="A6" s="101" t="s">
        <v>5</v>
      </c>
      <c r="B6" s="102"/>
      <c r="C6" s="35">
        <f>5928.24+26221.14</f>
        <v>32149.379999999997</v>
      </c>
      <c r="D6" s="36">
        <f>5719.09+25262.2</f>
        <v>30981.29</v>
      </c>
      <c r="E6" s="18"/>
    </row>
    <row r="7" spans="1:5" ht="14.4" customHeight="1" x14ac:dyDescent="0.3">
      <c r="A7" s="101" t="s">
        <v>6</v>
      </c>
      <c r="B7" s="102"/>
      <c r="C7" s="35">
        <v>10021.620000000001</v>
      </c>
      <c r="D7" s="36">
        <v>9668.49</v>
      </c>
      <c r="E7" s="18"/>
    </row>
    <row r="8" spans="1:5" ht="14.4" customHeight="1" x14ac:dyDescent="0.3">
      <c r="A8" s="107" t="s">
        <v>7</v>
      </c>
      <c r="B8" s="108"/>
      <c r="C8" s="37">
        <v>245733.3</v>
      </c>
      <c r="D8" s="38">
        <v>235596.48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4156088.34</v>
      </c>
      <c r="D9" s="40">
        <f t="shared" ref="D9" si="0">SUM(D4:D8)</f>
        <v>4021257.0100000002</v>
      </c>
      <c r="E9" s="40">
        <f>D9/C9*100</f>
        <v>96.755811740036307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507564.34999999916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0.950000000000003" customHeight="1" thickBot="1" x14ac:dyDescent="0.35">
      <c r="A14" s="5">
        <v>1</v>
      </c>
      <c r="B14" s="113" t="s">
        <v>63</v>
      </c>
      <c r="C14" s="114"/>
      <c r="D14" s="115"/>
      <c r="E14" s="10">
        <v>161159.84</v>
      </c>
    </row>
    <row r="15" spans="1:5" ht="40.950000000000003" customHeight="1" thickBot="1" x14ac:dyDescent="0.35">
      <c r="A15" s="5">
        <v>2</v>
      </c>
      <c r="B15" s="116" t="s">
        <v>64</v>
      </c>
      <c r="C15" s="117"/>
      <c r="D15" s="118"/>
      <c r="E15" s="8">
        <v>385300.93</v>
      </c>
    </row>
    <row r="16" spans="1:5" ht="40.950000000000003" customHeight="1" x14ac:dyDescent="0.3">
      <c r="A16" s="26">
        <v>3</v>
      </c>
      <c r="B16" s="98" t="s">
        <v>65</v>
      </c>
      <c r="C16" s="99"/>
      <c r="D16" s="100"/>
      <c r="E16" s="46">
        <f>35771.64+78969.28</f>
        <v>114740.92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53657.46+E23+960381.44</f>
        <v>1047479.26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33440.36</v>
      </c>
    </row>
    <row r="24" spans="1:5" x14ac:dyDescent="0.3">
      <c r="A24" s="51"/>
      <c r="B24" s="82" t="s">
        <v>96</v>
      </c>
      <c r="C24" s="83"/>
      <c r="D24" s="84"/>
      <c r="E24" s="52">
        <v>33440.36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25315.200000000001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32220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430693.3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411682.2</v>
      </c>
    </row>
    <row r="33" spans="1:5" x14ac:dyDescent="0.3">
      <c r="A33" s="61"/>
      <c r="B33" s="127" t="s">
        <v>73</v>
      </c>
      <c r="C33" s="127"/>
      <c r="D33" s="127"/>
      <c r="E33" s="13">
        <v>18937.099999999999</v>
      </c>
    </row>
    <row r="34" spans="1:5" ht="14.4" customHeight="1" x14ac:dyDescent="0.3">
      <c r="A34" s="30"/>
      <c r="B34" s="133" t="s">
        <v>74</v>
      </c>
      <c r="C34" s="134"/>
      <c r="D34" s="135"/>
      <c r="E34" s="13">
        <v>74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40366.9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760.9</v>
      </c>
    </row>
    <row r="39" spans="1:5" ht="14.4" customHeight="1" thickBot="1" x14ac:dyDescent="0.35">
      <c r="A39" s="28"/>
      <c r="B39" s="136" t="s">
        <v>78</v>
      </c>
      <c r="C39" s="136"/>
      <c r="D39" s="136"/>
      <c r="E39" s="16">
        <v>39606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80897.03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31363.68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238051.42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63547.25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97243.78</v>
      </c>
    </row>
    <row r="45" spans="1:5" ht="28.2" customHeight="1" thickBot="1" x14ac:dyDescent="0.35">
      <c r="A45" s="5">
        <v>14</v>
      </c>
      <c r="B45" s="119" t="s">
        <v>81</v>
      </c>
      <c r="C45" s="120"/>
      <c r="D45" s="121"/>
      <c r="E45" s="20">
        <v>556995.18000000005</v>
      </c>
    </row>
    <row r="46" spans="1:5" ht="20.399999999999999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3305374.69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1.25" customHeight="1" x14ac:dyDescent="0.3">
      <c r="A1" s="103" t="s">
        <v>54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205157.61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1930084.8</v>
      </c>
      <c r="D4" s="36">
        <v>1862987.34</v>
      </c>
      <c r="E4" s="18"/>
    </row>
    <row r="5" spans="1:5" ht="14.4" customHeight="1" x14ac:dyDescent="0.3">
      <c r="A5" s="101" t="s">
        <v>4</v>
      </c>
      <c r="B5" s="102"/>
      <c r="C5" s="35">
        <v>4430.46</v>
      </c>
      <c r="D5" s="36">
        <v>4261.74</v>
      </c>
      <c r="E5" s="18"/>
    </row>
    <row r="6" spans="1:5" ht="14.4" customHeight="1" x14ac:dyDescent="0.3">
      <c r="A6" s="101" t="s">
        <v>5</v>
      </c>
      <c r="B6" s="102"/>
      <c r="C6" s="35">
        <f>4430.46+19594.98</f>
        <v>24025.439999999999</v>
      </c>
      <c r="D6" s="36">
        <f>4261.74+18821.34</f>
        <v>23083.08</v>
      </c>
      <c r="E6" s="18"/>
    </row>
    <row r="7" spans="1:5" ht="14.4" customHeight="1" x14ac:dyDescent="0.3">
      <c r="A7" s="101" t="s">
        <v>6</v>
      </c>
      <c r="B7" s="102"/>
      <c r="C7" s="35">
        <v>7490.28</v>
      </c>
      <c r="D7" s="36">
        <v>7204.4</v>
      </c>
      <c r="E7" s="18"/>
    </row>
    <row r="8" spans="1:5" ht="14.4" customHeight="1" x14ac:dyDescent="0.3">
      <c r="A8" s="107" t="s">
        <v>7</v>
      </c>
      <c r="B8" s="108"/>
      <c r="C8" s="37">
        <v>183631.38</v>
      </c>
      <c r="D8" s="38">
        <v>175558.32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2149662.36</v>
      </c>
      <c r="D9" s="40">
        <f t="shared" ref="D9" si="0">SUM(D4:D8)</f>
        <v>2073094.8800000001</v>
      </c>
      <c r="E9" s="40">
        <f>D9/C9*100</f>
        <v>96.438162502877901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281725.08999999962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0.200000000000003" customHeight="1" thickBot="1" x14ac:dyDescent="0.35">
      <c r="A14" s="5">
        <v>1</v>
      </c>
      <c r="B14" s="113" t="s">
        <v>63</v>
      </c>
      <c r="C14" s="114"/>
      <c r="D14" s="115"/>
      <c r="E14" s="10">
        <v>470424.96</v>
      </c>
    </row>
    <row r="15" spans="1:5" ht="40.200000000000003" customHeight="1" thickBot="1" x14ac:dyDescent="0.35">
      <c r="A15" s="5">
        <v>2</v>
      </c>
      <c r="B15" s="116" t="s">
        <v>64</v>
      </c>
      <c r="C15" s="117"/>
      <c r="D15" s="118"/>
      <c r="E15" s="8">
        <v>287433.24</v>
      </c>
    </row>
    <row r="16" spans="1:5" ht="40.200000000000003" customHeight="1" x14ac:dyDescent="0.3">
      <c r="A16" s="26">
        <v>3</v>
      </c>
      <c r="B16" s="98" t="s">
        <v>65</v>
      </c>
      <c r="C16" s="99"/>
      <c r="D16" s="100"/>
      <c r="E16" s="46">
        <f>17872.1+E17+39454.35</f>
        <v>61159.229999999996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3832.78</v>
      </c>
    </row>
    <row r="18" spans="1:5" x14ac:dyDescent="0.3">
      <c r="A18" s="51"/>
      <c r="B18" s="82" t="s">
        <v>107</v>
      </c>
      <c r="C18" s="83"/>
      <c r="D18" s="84"/>
      <c r="E18" s="52">
        <v>3832.78</v>
      </c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26808.15+479822.38</f>
        <v>506630.53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22994.560000000001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25560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82410.44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82336.44</v>
      </c>
    </row>
    <row r="33" spans="1:5" x14ac:dyDescent="0.3">
      <c r="A33" s="61"/>
      <c r="B33" s="127" t="s">
        <v>73</v>
      </c>
      <c r="C33" s="127"/>
      <c r="D33" s="127"/>
      <c r="E33" s="13">
        <v>0</v>
      </c>
    </row>
    <row r="34" spans="1:5" ht="14.4" customHeight="1" x14ac:dyDescent="0.3">
      <c r="A34" s="30"/>
      <c r="B34" s="133" t="s">
        <v>74</v>
      </c>
      <c r="C34" s="134"/>
      <c r="D34" s="135"/>
      <c r="E34" s="13">
        <v>74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15107.6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4499.6000000000004</v>
      </c>
    </row>
    <row r="39" spans="1:5" ht="14.4" customHeight="1" thickBot="1" x14ac:dyDescent="0.35">
      <c r="A39" s="28"/>
      <c r="B39" s="136" t="s">
        <v>78</v>
      </c>
      <c r="C39" s="136"/>
      <c r="D39" s="136"/>
      <c r="E39" s="16">
        <v>10608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40425.81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24432.48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118934.42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31749.25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48584.59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461806.63</v>
      </c>
    </row>
    <row r="46" spans="1:5" ht="22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2197653.7400000002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7" workbookViewId="0">
      <selection activeCell="E46" sqref="E46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42.75" customHeight="1" x14ac:dyDescent="0.3">
      <c r="A1" s="103" t="s">
        <v>55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212073.28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2333891.7599999998</v>
      </c>
      <c r="D4" s="36">
        <v>2301903.06</v>
      </c>
      <c r="E4" s="18"/>
    </row>
    <row r="5" spans="1:5" ht="14.4" customHeight="1" x14ac:dyDescent="0.3">
      <c r="A5" s="101" t="s">
        <v>4</v>
      </c>
      <c r="B5" s="102"/>
      <c r="C5" s="35">
        <v>3088.2</v>
      </c>
      <c r="D5" s="36">
        <v>3002.28</v>
      </c>
      <c r="E5" s="18"/>
    </row>
    <row r="6" spans="1:5" ht="14.4" customHeight="1" x14ac:dyDescent="0.3">
      <c r="A6" s="101" t="s">
        <v>5</v>
      </c>
      <c r="B6" s="102"/>
      <c r="C6" s="35">
        <f>3088.2+13656.75</f>
        <v>16744.95</v>
      </c>
      <c r="D6" s="36">
        <f>3002.28+13258.58</f>
        <v>16260.86</v>
      </c>
      <c r="E6" s="18"/>
    </row>
    <row r="7" spans="1:5" ht="14.4" customHeight="1" x14ac:dyDescent="0.3">
      <c r="A7" s="101" t="s">
        <v>6</v>
      </c>
      <c r="B7" s="102"/>
      <c r="C7" s="35">
        <v>5220.24</v>
      </c>
      <c r="D7" s="36">
        <v>5074.97</v>
      </c>
      <c r="E7" s="18"/>
    </row>
    <row r="8" spans="1:5" ht="14.4" customHeight="1" x14ac:dyDescent="0.3">
      <c r="A8" s="107" t="s">
        <v>7</v>
      </c>
      <c r="B8" s="108"/>
      <c r="C8" s="37">
        <v>127984.26</v>
      </c>
      <c r="D8" s="38">
        <v>123589.36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2486929.41</v>
      </c>
      <c r="D9" s="40">
        <f t="shared" ref="D9" si="0">SUM(D4:D8)</f>
        <v>2449830.5299999998</v>
      </c>
      <c r="E9" s="40">
        <f>D9/C9*100</f>
        <v>98.508245555711198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249172.16000000015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0.950000000000003" customHeight="1" thickBot="1" x14ac:dyDescent="0.35">
      <c r="A14" s="5">
        <v>1</v>
      </c>
      <c r="B14" s="113" t="s">
        <v>63</v>
      </c>
      <c r="C14" s="114"/>
      <c r="D14" s="115"/>
      <c r="E14" s="10">
        <v>208004.24</v>
      </c>
    </row>
    <row r="15" spans="1:5" ht="40.950000000000003" customHeight="1" thickBot="1" x14ac:dyDescent="0.35">
      <c r="A15" s="5">
        <v>2</v>
      </c>
      <c r="B15" s="116" t="s">
        <v>64</v>
      </c>
      <c r="C15" s="117"/>
      <c r="D15" s="118"/>
      <c r="E15" s="8">
        <v>200331.3</v>
      </c>
    </row>
    <row r="16" spans="1:5" ht="40.950000000000003" customHeight="1" x14ac:dyDescent="0.3">
      <c r="A16" s="26">
        <v>3</v>
      </c>
      <c r="B16" s="98" t="s">
        <v>65</v>
      </c>
      <c r="C16" s="99"/>
      <c r="D16" s="100"/>
      <c r="E16" s="46">
        <f>21578.97+E17+47637.62</f>
        <v>1006974.0399999999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937757.45</v>
      </c>
    </row>
    <row r="18" spans="1:5" x14ac:dyDescent="0.3">
      <c r="A18" s="51"/>
      <c r="B18" s="82" t="s">
        <v>129</v>
      </c>
      <c r="C18" s="83"/>
      <c r="D18" s="84"/>
      <c r="E18" s="52">
        <v>196813.58</v>
      </c>
    </row>
    <row r="19" spans="1:5" x14ac:dyDescent="0.3">
      <c r="A19" s="51"/>
      <c r="B19" s="82" t="s">
        <v>135</v>
      </c>
      <c r="C19" s="122"/>
      <c r="D19" s="123"/>
      <c r="E19" s="52">
        <v>102894.11</v>
      </c>
    </row>
    <row r="20" spans="1:5" x14ac:dyDescent="0.3">
      <c r="A20" s="51"/>
      <c r="B20" s="82" t="s">
        <v>137</v>
      </c>
      <c r="C20" s="122"/>
      <c r="D20" s="123"/>
      <c r="E20" s="53">
        <f>291272.22+346777.54</f>
        <v>638049.76</v>
      </c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32368.45+E23+579342.8</f>
        <v>674501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62789.75</v>
      </c>
    </row>
    <row r="24" spans="1:5" x14ac:dyDescent="0.3">
      <c r="A24" s="51"/>
      <c r="B24" s="82" t="s">
        <v>108</v>
      </c>
      <c r="C24" s="83"/>
      <c r="D24" s="84"/>
      <c r="E24" s="52">
        <v>36847.730000000003</v>
      </c>
    </row>
    <row r="25" spans="1:5" x14ac:dyDescent="0.3">
      <c r="A25" s="51"/>
      <c r="B25" s="82" t="s">
        <v>109</v>
      </c>
      <c r="C25" s="122"/>
      <c r="D25" s="123"/>
      <c r="E25" s="52">
        <v>25942.02</v>
      </c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18152.98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19440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258445.58000000002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247009.32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11362.26</v>
      </c>
    </row>
    <row r="34" spans="1:6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6.4" customHeight="1" x14ac:dyDescent="0.3">
      <c r="A36" s="26">
        <v>8</v>
      </c>
      <c r="B36" s="98" t="s">
        <v>76</v>
      </c>
      <c r="C36" s="99"/>
      <c r="D36" s="100"/>
      <c r="E36" s="58">
        <f>SUM(E38:E39)</f>
        <v>15359.2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4648.6000000000004</v>
      </c>
    </row>
    <row r="39" spans="1:6" ht="15" thickBot="1" x14ac:dyDescent="0.35">
      <c r="A39" s="28"/>
      <c r="B39" s="136" t="s">
        <v>78</v>
      </c>
      <c r="C39" s="136"/>
      <c r="D39" s="136"/>
      <c r="E39" s="16">
        <v>10710.6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48884.75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18540.96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143602.71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38334.400000000001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58661.57</v>
      </c>
    </row>
    <row r="45" spans="1:6" ht="26.4" customHeight="1" thickBot="1" x14ac:dyDescent="0.35">
      <c r="A45" s="5">
        <v>14</v>
      </c>
      <c r="B45" s="119" t="s">
        <v>81</v>
      </c>
      <c r="C45" s="120"/>
      <c r="D45" s="121"/>
      <c r="E45" s="20">
        <v>154214.66</v>
      </c>
      <c r="F45" s="74"/>
    </row>
    <row r="46" spans="1:6" ht="21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2863447.39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9" workbookViewId="0">
      <selection activeCell="F45" sqref="F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39.75" customHeight="1" x14ac:dyDescent="0.3">
      <c r="A1" s="103" t="s">
        <v>56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283920.69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3059054.16</v>
      </c>
      <c r="D4" s="36">
        <v>2986359.32</v>
      </c>
      <c r="E4" s="18"/>
    </row>
    <row r="5" spans="1:5" ht="14.4" customHeight="1" x14ac:dyDescent="0.3">
      <c r="A5" s="101" t="s">
        <v>4</v>
      </c>
      <c r="B5" s="102"/>
      <c r="C5" s="35">
        <v>4285.32</v>
      </c>
      <c r="D5" s="36">
        <v>4169.71</v>
      </c>
      <c r="E5" s="18"/>
    </row>
    <row r="6" spans="1:5" ht="14.4" customHeight="1" x14ac:dyDescent="0.3">
      <c r="A6" s="101" t="s">
        <v>5</v>
      </c>
      <c r="B6" s="102"/>
      <c r="C6" s="35">
        <f>4285.32+18951.04</f>
        <v>23236.36</v>
      </c>
      <c r="D6" s="36">
        <f>4169.71+18414.38</f>
        <v>22584.09</v>
      </c>
      <c r="E6" s="18"/>
    </row>
    <row r="7" spans="1:5" ht="14.4" customHeight="1" x14ac:dyDescent="0.3">
      <c r="A7" s="101" t="s">
        <v>6</v>
      </c>
      <c r="B7" s="102"/>
      <c r="C7" s="35">
        <v>7244.04</v>
      </c>
      <c r="D7" s="36">
        <v>7048.37</v>
      </c>
      <c r="E7" s="18"/>
    </row>
    <row r="8" spans="1:5" ht="14.4" customHeight="1" x14ac:dyDescent="0.3">
      <c r="A8" s="107" t="s">
        <v>7</v>
      </c>
      <c r="B8" s="108"/>
      <c r="C8" s="37">
        <v>177638.26</v>
      </c>
      <c r="D8" s="38">
        <v>171777.38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3271458.1399999997</v>
      </c>
      <c r="D9" s="40">
        <f t="shared" ref="D9" si="0">SUM(D4:D8)</f>
        <v>3191938.8699999996</v>
      </c>
      <c r="E9" s="40">
        <f>D9/C9*100</f>
        <v>97.569301926021282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363439.95999999996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234014.76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278052.53999999998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28283.74+E17+62439.04</f>
        <v>284676.73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193953.95</v>
      </c>
    </row>
    <row r="18" spans="1:5" x14ac:dyDescent="0.3">
      <c r="A18" s="51"/>
      <c r="B18" s="82" t="s">
        <v>94</v>
      </c>
      <c r="C18" s="83"/>
      <c r="D18" s="84"/>
      <c r="E18" s="52">
        <f>68070.46+45301.94+51768.91+28812.64</f>
        <v>193953.95</v>
      </c>
    </row>
    <row r="19" spans="1:5" x14ac:dyDescent="0.3">
      <c r="A19" s="51"/>
      <c r="B19" s="82"/>
      <c r="C19" s="122"/>
      <c r="D19" s="123"/>
      <c r="E19" s="52"/>
    </row>
    <row r="20" spans="1:5" x14ac:dyDescent="0.3">
      <c r="A20" s="51"/>
      <c r="B20" s="79"/>
      <c r="C20" s="80"/>
      <c r="D20" s="81"/>
      <c r="E20" s="53"/>
    </row>
    <row r="21" spans="1:5" ht="15" thickBot="1" x14ac:dyDescent="0.35">
      <c r="A21" s="54"/>
      <c r="B21" s="95"/>
      <c r="C21" s="96"/>
      <c r="D21" s="97"/>
      <c r="E21" s="55"/>
    </row>
    <row r="22" spans="1:5" ht="40.200000000000003" customHeight="1" x14ac:dyDescent="0.3">
      <c r="A22" s="29">
        <v>4</v>
      </c>
      <c r="B22" s="98" t="s">
        <v>67</v>
      </c>
      <c r="C22" s="99"/>
      <c r="D22" s="100"/>
      <c r="E22" s="46">
        <f>42425.61+759349.61</f>
        <v>801775.22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21015.48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25920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329419.76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329345.76</v>
      </c>
    </row>
    <row r="33" spans="1:6" ht="15" customHeight="1" x14ac:dyDescent="0.3">
      <c r="A33" s="61"/>
      <c r="B33" s="127" t="s">
        <v>73</v>
      </c>
      <c r="C33" s="127"/>
      <c r="D33" s="127"/>
      <c r="E33" s="13">
        <v>0</v>
      </c>
    </row>
    <row r="34" spans="1:6" ht="14.4" customHeight="1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19069.86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x14ac:dyDescent="0.3">
      <c r="A38" s="27"/>
      <c r="B38" s="129" t="s">
        <v>77</v>
      </c>
      <c r="C38" s="129"/>
      <c r="D38" s="129"/>
      <c r="E38" s="13">
        <v>7747.86</v>
      </c>
    </row>
    <row r="39" spans="1:6" ht="14.4" customHeight="1" thickBot="1" x14ac:dyDescent="0.35">
      <c r="A39" s="28"/>
      <c r="B39" s="136" t="s">
        <v>78</v>
      </c>
      <c r="C39" s="136"/>
      <c r="D39" s="136"/>
      <c r="E39" s="16">
        <v>11322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64073.51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26338.560000000001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188221.32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50245.22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76888.22</v>
      </c>
    </row>
    <row r="45" spans="1:6" ht="28.2" customHeight="1" thickBot="1" x14ac:dyDescent="0.35">
      <c r="A45" s="5">
        <v>14</v>
      </c>
      <c r="B45" s="119" t="s">
        <v>81</v>
      </c>
      <c r="C45" s="120"/>
      <c r="D45" s="121"/>
      <c r="E45" s="20">
        <v>212403.98</v>
      </c>
      <c r="F45" s="74"/>
    </row>
    <row r="46" spans="1:6" ht="22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2612115.1600000006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7" workbookViewId="0">
      <selection activeCell="F45" sqref="F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39.75" customHeight="1" x14ac:dyDescent="0.3">
      <c r="A1" s="103" t="s">
        <v>57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217256.37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2077688.04</v>
      </c>
      <c r="D4" s="36">
        <v>2078362.72</v>
      </c>
      <c r="E4" s="18"/>
    </row>
    <row r="5" spans="1:5" ht="14.4" customHeight="1" x14ac:dyDescent="0.3">
      <c r="A5" s="101" t="s">
        <v>4</v>
      </c>
      <c r="B5" s="102"/>
      <c r="C5" s="35">
        <v>2159.58</v>
      </c>
      <c r="D5" s="36">
        <v>2151.89</v>
      </c>
      <c r="E5" s="18"/>
    </row>
    <row r="6" spans="1:5" ht="14.4" customHeight="1" x14ac:dyDescent="0.3">
      <c r="A6" s="101" t="s">
        <v>5</v>
      </c>
      <c r="B6" s="102"/>
      <c r="C6" s="35">
        <f>2159.58+9552.48</f>
        <v>11712.06</v>
      </c>
      <c r="D6" s="36">
        <f>2151.89+9503.03</f>
        <v>11654.92</v>
      </c>
      <c r="E6" s="18"/>
    </row>
    <row r="7" spans="1:5" ht="14.4" customHeight="1" x14ac:dyDescent="0.3">
      <c r="A7" s="101" t="s">
        <v>6</v>
      </c>
      <c r="B7" s="102"/>
      <c r="C7" s="35">
        <v>3650.7</v>
      </c>
      <c r="D7" s="36">
        <v>52100</v>
      </c>
      <c r="E7" s="18"/>
    </row>
    <row r="8" spans="1:5" ht="14.4" customHeight="1" x14ac:dyDescent="0.3">
      <c r="A8" s="107" t="s">
        <v>7</v>
      </c>
      <c r="B8" s="108"/>
      <c r="C8" s="37">
        <v>107356.08</v>
      </c>
      <c r="D8" s="38">
        <v>106125.75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2202566.46</v>
      </c>
      <c r="D9" s="40">
        <f t="shared" ref="D9" si="0">SUM(D4:D8)</f>
        <v>2250395.2799999998</v>
      </c>
      <c r="E9" s="40">
        <f>D9/C9*100</f>
        <v>102.17150405531916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169427.55000000028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2" customHeight="1" thickBot="1" x14ac:dyDescent="0.35">
      <c r="A14" s="5">
        <v>1</v>
      </c>
      <c r="B14" s="113" t="s">
        <v>63</v>
      </c>
      <c r="C14" s="114"/>
      <c r="D14" s="115"/>
      <c r="E14" s="10">
        <v>120923.1</v>
      </c>
    </row>
    <row r="15" spans="1:5" ht="42" customHeight="1" thickBot="1" x14ac:dyDescent="0.35">
      <c r="A15" s="5">
        <v>2</v>
      </c>
      <c r="B15" s="116" t="s">
        <v>64</v>
      </c>
      <c r="C15" s="117"/>
      <c r="D15" s="118"/>
      <c r="E15" s="8">
        <v>240152.03</v>
      </c>
    </row>
    <row r="16" spans="1:5" ht="42" customHeight="1" x14ac:dyDescent="0.3">
      <c r="A16" s="26">
        <v>3</v>
      </c>
      <c r="B16" s="98" t="s">
        <v>65</v>
      </c>
      <c r="C16" s="99"/>
      <c r="D16" s="100"/>
      <c r="E16" s="46">
        <f>18235.11+E17+40255.73</f>
        <v>299756.53999999998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241265.7</v>
      </c>
    </row>
    <row r="18" spans="1:5" x14ac:dyDescent="0.3">
      <c r="A18" s="51"/>
      <c r="B18" s="82" t="s">
        <v>113</v>
      </c>
      <c r="C18" s="83"/>
      <c r="D18" s="84"/>
      <c r="E18" s="52">
        <v>148743.76</v>
      </c>
    </row>
    <row r="19" spans="1:5" x14ac:dyDescent="0.3">
      <c r="A19" s="51"/>
      <c r="B19" s="82" t="s">
        <v>125</v>
      </c>
      <c r="C19" s="122"/>
      <c r="D19" s="123"/>
      <c r="E19" s="52">
        <v>92521.94</v>
      </c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39.6" customHeight="1" x14ac:dyDescent="0.3">
      <c r="A22" s="29">
        <v>4</v>
      </c>
      <c r="B22" s="98" t="s">
        <v>67</v>
      </c>
      <c r="C22" s="99"/>
      <c r="D22" s="100"/>
      <c r="E22" s="46">
        <f>27352.67+489568.36</f>
        <v>516921.02999999997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0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9360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229721.62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219679.32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9968.2999999999993</v>
      </c>
    </row>
    <row r="34" spans="1:6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6.4" customHeight="1" x14ac:dyDescent="0.3">
      <c r="A36" s="26">
        <v>8</v>
      </c>
      <c r="B36" s="98" t="s">
        <v>76</v>
      </c>
      <c r="C36" s="99"/>
      <c r="D36" s="100"/>
      <c r="E36" s="58">
        <f>SUM(E38:E39)</f>
        <v>2723.47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2723.47</v>
      </c>
    </row>
    <row r="39" spans="1:6" ht="15" thickBot="1" x14ac:dyDescent="0.35">
      <c r="A39" s="28"/>
      <c r="B39" s="136" t="s">
        <v>78</v>
      </c>
      <c r="C39" s="136"/>
      <c r="D39" s="136"/>
      <c r="E39" s="16">
        <v>0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41247.360000000001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18021.12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121350.17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32394.13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49571.42</v>
      </c>
    </row>
    <row r="45" spans="1:6" ht="27" customHeight="1" thickBot="1" x14ac:dyDescent="0.35">
      <c r="A45" s="5">
        <v>14</v>
      </c>
      <c r="B45" s="119" t="s">
        <v>81</v>
      </c>
      <c r="C45" s="120"/>
      <c r="D45" s="121"/>
      <c r="E45" s="20">
        <v>124878.42</v>
      </c>
      <c r="F45" s="74"/>
    </row>
    <row r="46" spans="1:6" ht="22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1807020.4099999997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25" workbookViewId="0">
      <selection activeCell="F45" sqref="F45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  <col min="6" max="6" width="10" bestFit="1" customWidth="1"/>
  </cols>
  <sheetData>
    <row r="1" spans="1:5" ht="41.25" customHeight="1" x14ac:dyDescent="0.3">
      <c r="A1" s="103" t="s">
        <v>58</v>
      </c>
      <c r="B1" s="103"/>
      <c r="C1" s="103"/>
      <c r="D1" s="103"/>
      <c r="E1" s="103"/>
    </row>
    <row r="2" spans="1:5" ht="15" customHeight="1" thickBot="1" x14ac:dyDescent="0.35">
      <c r="A2" s="106" t="s">
        <v>59</v>
      </c>
      <c r="B2" s="106"/>
      <c r="C2" s="106"/>
      <c r="D2" s="106"/>
      <c r="E2" s="31">
        <v>277351.21999999997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2798136.72</v>
      </c>
      <c r="D4" s="36">
        <v>2678591.5099999998</v>
      </c>
      <c r="E4" s="18"/>
    </row>
    <row r="5" spans="1:5" ht="14.4" customHeight="1" x14ac:dyDescent="0.3">
      <c r="A5" s="101" t="s">
        <v>4</v>
      </c>
      <c r="B5" s="102"/>
      <c r="C5" s="35">
        <v>4291.9799999999996</v>
      </c>
      <c r="D5" s="36">
        <v>4094.2</v>
      </c>
      <c r="E5" s="18"/>
    </row>
    <row r="6" spans="1:5" ht="14.4" customHeight="1" x14ac:dyDescent="0.3">
      <c r="A6" s="101" t="s">
        <v>5</v>
      </c>
      <c r="B6" s="102"/>
      <c r="C6" s="35">
        <f>4291.98+18975.42</f>
        <v>23267.399999999998</v>
      </c>
      <c r="D6" s="36">
        <f>4094.2+18074.51</f>
        <v>22168.71</v>
      </c>
      <c r="E6" s="18"/>
    </row>
    <row r="7" spans="1:5" ht="14.4" customHeight="1" x14ac:dyDescent="0.3">
      <c r="A7" s="101" t="s">
        <v>6</v>
      </c>
      <c r="B7" s="102"/>
      <c r="C7" s="35">
        <v>7252.92</v>
      </c>
      <c r="D7" s="36">
        <v>6918.48</v>
      </c>
      <c r="E7" s="18"/>
    </row>
    <row r="8" spans="1:5" ht="14.4" customHeight="1" x14ac:dyDescent="0.3">
      <c r="A8" s="107" t="s">
        <v>7</v>
      </c>
      <c r="B8" s="108"/>
      <c r="C8" s="37">
        <v>177839.58</v>
      </c>
      <c r="D8" s="38">
        <v>168556.57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3010788.6</v>
      </c>
      <c r="D9" s="40">
        <f t="shared" ref="D9" si="0">SUM(D4:D8)</f>
        <v>2880329.4699999997</v>
      </c>
      <c r="E9" s="40">
        <f>D9/C9*100</f>
        <v>95.666944866205469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407810.35000000056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0.200000000000003" customHeight="1" thickBot="1" x14ac:dyDescent="0.35">
      <c r="A14" s="5">
        <v>1</v>
      </c>
      <c r="B14" s="113" t="s">
        <v>63</v>
      </c>
      <c r="C14" s="114"/>
      <c r="D14" s="115"/>
      <c r="E14" s="10">
        <v>85147.93</v>
      </c>
    </row>
    <row r="15" spans="1:5" ht="40.200000000000003" customHeight="1" thickBot="1" x14ac:dyDescent="0.35">
      <c r="A15" s="5">
        <v>2</v>
      </c>
      <c r="B15" s="116" t="s">
        <v>64</v>
      </c>
      <c r="C15" s="117"/>
      <c r="D15" s="118"/>
      <c r="E15" s="8">
        <v>372929.75</v>
      </c>
    </row>
    <row r="16" spans="1:5" ht="40.200000000000003" customHeight="1" x14ac:dyDescent="0.3">
      <c r="A16" s="26">
        <v>3</v>
      </c>
      <c r="B16" s="98" t="s">
        <v>65</v>
      </c>
      <c r="C16" s="99"/>
      <c r="D16" s="100"/>
      <c r="E16" s="46">
        <f>34659.99+E17+76515.2</f>
        <v>841208.85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730033.66</v>
      </c>
    </row>
    <row r="18" spans="1:5" x14ac:dyDescent="0.3">
      <c r="A18" s="51"/>
      <c r="B18" s="82" t="s">
        <v>140</v>
      </c>
      <c r="C18" s="83"/>
      <c r="D18" s="84"/>
      <c r="E18" s="52">
        <f>7126.07+7730.96</f>
        <v>14857.029999999999</v>
      </c>
    </row>
    <row r="19" spans="1:5" x14ac:dyDescent="0.3">
      <c r="A19" s="51"/>
      <c r="B19" s="82" t="s">
        <v>92</v>
      </c>
      <c r="C19" s="122"/>
      <c r="D19" s="123"/>
      <c r="E19" s="52">
        <v>715176.63</v>
      </c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51989.98+930536.27</f>
        <v>982526.25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2"/>
      <c r="C24" s="83"/>
      <c r="D24" s="84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29025.91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23040</v>
      </c>
    </row>
    <row r="30" spans="1:5" ht="14.4" customHeight="1" x14ac:dyDescent="0.3">
      <c r="A30" s="26">
        <v>7</v>
      </c>
      <c r="B30" s="130" t="s">
        <v>70</v>
      </c>
      <c r="C30" s="131"/>
      <c r="D30" s="132"/>
      <c r="E30" s="58">
        <f>SUM(E32:E35)</f>
        <v>444569.44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ht="14.4" customHeight="1" x14ac:dyDescent="0.3">
      <c r="A32" s="51"/>
      <c r="B32" s="127" t="s">
        <v>72</v>
      </c>
      <c r="C32" s="127"/>
      <c r="D32" s="127"/>
      <c r="E32" s="13">
        <v>329345.76</v>
      </c>
    </row>
    <row r="33" spans="1:6" x14ac:dyDescent="0.3">
      <c r="A33" s="61"/>
      <c r="B33" s="127" t="s">
        <v>73</v>
      </c>
      <c r="C33" s="127"/>
      <c r="D33" s="127"/>
      <c r="E33" s="13">
        <v>115149.68</v>
      </c>
    </row>
    <row r="34" spans="1:6" ht="14.4" customHeight="1" x14ac:dyDescent="0.3">
      <c r="A34" s="30"/>
      <c r="B34" s="133" t="s">
        <v>74</v>
      </c>
      <c r="C34" s="134"/>
      <c r="D34" s="135"/>
      <c r="E34" s="13">
        <v>74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7687.6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x14ac:dyDescent="0.3">
      <c r="A38" s="27"/>
      <c r="B38" s="129" t="s">
        <v>77</v>
      </c>
      <c r="C38" s="129"/>
      <c r="D38" s="129"/>
      <c r="E38" s="13">
        <v>7687.6</v>
      </c>
    </row>
    <row r="39" spans="1:6" ht="14.4" customHeight="1" thickBot="1" x14ac:dyDescent="0.35">
      <c r="A39" s="28"/>
      <c r="B39" s="136" t="s">
        <v>78</v>
      </c>
      <c r="C39" s="136"/>
      <c r="D39" s="136"/>
      <c r="E39" s="16">
        <v>0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58608.47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22353.119999999999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230653.66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61572.43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94221.79</v>
      </c>
    </row>
    <row r="45" spans="1:6" ht="29.4" customHeight="1" thickBot="1" x14ac:dyDescent="0.35">
      <c r="A45" s="5">
        <v>14</v>
      </c>
      <c r="B45" s="119" t="s">
        <v>81</v>
      </c>
      <c r="C45" s="120"/>
      <c r="D45" s="121"/>
      <c r="E45" s="20">
        <v>312794.12</v>
      </c>
      <c r="F45" s="74"/>
    </row>
    <row r="46" spans="1:6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3566339.3200000012</v>
      </c>
    </row>
  </sheetData>
  <mergeCells count="39">
    <mergeCell ref="B25:D25"/>
    <mergeCell ref="B45:D45"/>
    <mergeCell ref="B44:D44"/>
    <mergeCell ref="B30:D30"/>
    <mergeCell ref="B32:D32"/>
    <mergeCell ref="B33:D33"/>
    <mergeCell ref="B34:D34"/>
    <mergeCell ref="B36:D36"/>
    <mergeCell ref="B39:D39"/>
    <mergeCell ref="B41:D41"/>
    <mergeCell ref="B42:D42"/>
    <mergeCell ref="B40:D40"/>
    <mergeCell ref="B43:D43"/>
    <mergeCell ref="B26:D26"/>
    <mergeCell ref="B27:D27"/>
    <mergeCell ref="B29:D29"/>
    <mergeCell ref="B22:D22"/>
    <mergeCell ref="A10:D10"/>
    <mergeCell ref="B14:D14"/>
    <mergeCell ref="B15:D15"/>
    <mergeCell ref="B18:D18"/>
    <mergeCell ref="B19:D19"/>
    <mergeCell ref="B20:D20"/>
    <mergeCell ref="B35:D35"/>
    <mergeCell ref="B38:D38"/>
    <mergeCell ref="B28:D28"/>
    <mergeCell ref="A6:B6"/>
    <mergeCell ref="A1:E1"/>
    <mergeCell ref="A3:B3"/>
    <mergeCell ref="A4:B4"/>
    <mergeCell ref="A5:B5"/>
    <mergeCell ref="A2:D2"/>
    <mergeCell ref="A7:B7"/>
    <mergeCell ref="A8:B8"/>
    <mergeCell ref="A9:B9"/>
    <mergeCell ref="B13:D13"/>
    <mergeCell ref="B16:D16"/>
    <mergeCell ref="B21:D21"/>
    <mergeCell ref="B24:D2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6"/>
  <sheetViews>
    <sheetView topLeftCell="A19" workbookViewId="0">
      <selection activeCell="H38" sqref="H3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2" customHeight="1" x14ac:dyDescent="0.3">
      <c r="A1" s="103" t="s">
        <v>111</v>
      </c>
      <c r="B1" s="103"/>
      <c r="C1" s="103"/>
      <c r="D1" s="103"/>
      <c r="E1" s="103"/>
    </row>
    <row r="2" spans="1:5" ht="15" thickBot="1" x14ac:dyDescent="0.35">
      <c r="A2" s="106" t="s">
        <v>59</v>
      </c>
      <c r="B2" s="106"/>
      <c r="C2" s="106"/>
      <c r="D2" s="106"/>
      <c r="E2" s="31"/>
    </row>
    <row r="3" spans="1:5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x14ac:dyDescent="0.3">
      <c r="A4" s="101" t="s">
        <v>3</v>
      </c>
      <c r="B4" s="102"/>
      <c r="C4" s="35"/>
      <c r="D4" s="36"/>
      <c r="E4" s="18"/>
    </row>
    <row r="5" spans="1:5" x14ac:dyDescent="0.3">
      <c r="A5" s="101" t="s">
        <v>4</v>
      </c>
      <c r="B5" s="102"/>
      <c r="C5" s="35"/>
      <c r="D5" s="36"/>
      <c r="E5" s="18"/>
    </row>
    <row r="6" spans="1:5" x14ac:dyDescent="0.3">
      <c r="A6" s="101" t="s">
        <v>5</v>
      </c>
      <c r="B6" s="102"/>
      <c r="C6" s="35"/>
      <c r="D6" s="36"/>
      <c r="E6" s="18"/>
    </row>
    <row r="7" spans="1:5" x14ac:dyDescent="0.3">
      <c r="A7" s="101" t="s">
        <v>6</v>
      </c>
      <c r="B7" s="102"/>
      <c r="C7" s="35"/>
      <c r="D7" s="36"/>
      <c r="E7" s="18"/>
    </row>
    <row r="8" spans="1:5" x14ac:dyDescent="0.3">
      <c r="A8" s="107" t="s">
        <v>7</v>
      </c>
      <c r="B8" s="108"/>
      <c r="C8" s="37"/>
      <c r="D8" s="38"/>
      <c r="E8" s="39"/>
    </row>
    <row r="9" spans="1:5" ht="15" thickBot="1" x14ac:dyDescent="0.35">
      <c r="A9" s="109" t="s">
        <v>8</v>
      </c>
      <c r="B9" s="110"/>
      <c r="C9" s="40"/>
      <c r="D9" s="40"/>
      <c r="E9" s="40"/>
    </row>
    <row r="10" spans="1:5" x14ac:dyDescent="0.3">
      <c r="A10" s="112" t="s">
        <v>60</v>
      </c>
      <c r="B10" s="112"/>
      <c r="C10" s="112"/>
      <c r="D10" s="112"/>
      <c r="E10" s="41">
        <f>E2+C9-D9</f>
        <v>0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15" thickBot="1" x14ac:dyDescent="0.35">
      <c r="A14" s="5">
        <v>1</v>
      </c>
      <c r="B14" s="113" t="s">
        <v>63</v>
      </c>
      <c r="C14" s="114"/>
      <c r="D14" s="115"/>
      <c r="E14" s="10">
        <v>0</v>
      </c>
    </row>
    <row r="15" spans="1:5" ht="15" thickBot="1" x14ac:dyDescent="0.35">
      <c r="A15" s="5">
        <v>2</v>
      </c>
      <c r="B15" s="116" t="s">
        <v>64</v>
      </c>
      <c r="C15" s="117"/>
      <c r="D15" s="118"/>
      <c r="E15" s="8">
        <v>0</v>
      </c>
    </row>
    <row r="16" spans="1:5" x14ac:dyDescent="0.3">
      <c r="A16" s="68">
        <v>3</v>
      </c>
      <c r="B16" s="98" t="s">
        <v>65</v>
      </c>
      <c r="C16" s="99"/>
      <c r="D16" s="100"/>
      <c r="E16" s="46">
        <v>0</v>
      </c>
    </row>
    <row r="17" spans="1:5" x14ac:dyDescent="0.3">
      <c r="A17" s="66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x14ac:dyDescent="0.3">
      <c r="A22" s="65">
        <v>4</v>
      </c>
      <c r="B22" s="98" t="s">
        <v>67</v>
      </c>
      <c r="C22" s="99"/>
      <c r="D22" s="100"/>
      <c r="E22" s="46">
        <v>0</v>
      </c>
    </row>
    <row r="23" spans="1:5" x14ac:dyDescent="0.3">
      <c r="A23" s="66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4691.3900000000003</v>
      </c>
    </row>
    <row r="29" spans="1:5" ht="15" thickBot="1" x14ac:dyDescent="0.35">
      <c r="A29" s="67">
        <v>6</v>
      </c>
      <c r="B29" s="124" t="s">
        <v>69</v>
      </c>
      <c r="C29" s="125"/>
      <c r="D29" s="126"/>
      <c r="E29" s="57">
        <v>4320</v>
      </c>
    </row>
    <row r="30" spans="1:5" x14ac:dyDescent="0.3">
      <c r="A30" s="68">
        <v>7</v>
      </c>
      <c r="B30" s="130" t="s">
        <v>70</v>
      </c>
      <c r="C30" s="131"/>
      <c r="D30" s="132"/>
      <c r="E30" s="58">
        <f>SUM(E32:E35)</f>
        <v>82336.44</v>
      </c>
    </row>
    <row r="31" spans="1:5" x14ac:dyDescent="0.3">
      <c r="A31" s="66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82336.44</v>
      </c>
    </row>
    <row r="33" spans="1:5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69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x14ac:dyDescent="0.3">
      <c r="A36" s="68">
        <v>8</v>
      </c>
      <c r="B36" s="98" t="s">
        <v>76</v>
      </c>
      <c r="C36" s="99"/>
      <c r="D36" s="100"/>
      <c r="E36" s="58"/>
    </row>
    <row r="37" spans="1:5" x14ac:dyDescent="0.3">
      <c r="A37" s="66"/>
      <c r="B37" s="59" t="s">
        <v>71</v>
      </c>
      <c r="C37" s="11"/>
      <c r="D37" s="12"/>
      <c r="E37" s="60"/>
    </row>
    <row r="38" spans="1:5" x14ac:dyDescent="0.3">
      <c r="A38" s="66"/>
      <c r="B38" s="129" t="s">
        <v>77</v>
      </c>
      <c r="C38" s="129"/>
      <c r="D38" s="129"/>
      <c r="E38" s="13">
        <v>0</v>
      </c>
    </row>
    <row r="39" spans="1:5" ht="15" thickBot="1" x14ac:dyDescent="0.35">
      <c r="A39" s="67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/>
    </row>
    <row r="41" spans="1:5" ht="15" thickBot="1" x14ac:dyDescent="0.35">
      <c r="A41" s="9">
        <v>10</v>
      </c>
      <c r="B41" s="76" t="s">
        <v>11</v>
      </c>
      <c r="C41" s="77"/>
      <c r="D41" s="78"/>
      <c r="E41" s="17"/>
    </row>
    <row r="42" spans="1:5" ht="15" thickBot="1" x14ac:dyDescent="0.35">
      <c r="A42" s="9">
        <v>11</v>
      </c>
      <c r="B42" s="76" t="s">
        <v>12</v>
      </c>
      <c r="C42" s="77"/>
      <c r="D42" s="78"/>
      <c r="E42" s="17"/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17566.53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/>
    </row>
    <row r="45" spans="1:5" ht="15" thickBot="1" x14ac:dyDescent="0.35">
      <c r="A45" s="5">
        <v>14</v>
      </c>
      <c r="B45" s="119" t="s">
        <v>81</v>
      </c>
      <c r="C45" s="120"/>
      <c r="D45" s="121"/>
      <c r="E45" s="20"/>
    </row>
    <row r="46" spans="1:5" ht="15" thickBot="1" x14ac:dyDescent="0.35">
      <c r="A46" s="67">
        <v>15</v>
      </c>
      <c r="B46" s="63" t="s">
        <v>82</v>
      </c>
      <c r="C46" s="64"/>
      <c r="D46" s="64"/>
      <c r="E46" s="8">
        <f>E14+E15+E16+E22+E28+E29+E30+E36+E40+E41+E42+E43+E44+E45</f>
        <v>108914.36</v>
      </c>
    </row>
  </sheetData>
  <mergeCells count="39">
    <mergeCell ref="B43:D43"/>
    <mergeCell ref="B44:D44"/>
    <mergeCell ref="B45:D45"/>
    <mergeCell ref="B36:D36"/>
    <mergeCell ref="B38:D38"/>
    <mergeCell ref="B39:D39"/>
    <mergeCell ref="B40:D40"/>
    <mergeCell ref="B41:D41"/>
    <mergeCell ref="B42:D42"/>
    <mergeCell ref="B35:D35"/>
    <mergeCell ref="B22:D22"/>
    <mergeCell ref="B24:D24"/>
    <mergeCell ref="B25:D25"/>
    <mergeCell ref="B26:D26"/>
    <mergeCell ref="B27:D27"/>
    <mergeCell ref="B28:D28"/>
    <mergeCell ref="B29:D29"/>
    <mergeCell ref="B30:D30"/>
    <mergeCell ref="B32:D32"/>
    <mergeCell ref="B33:D33"/>
    <mergeCell ref="B34:D34"/>
    <mergeCell ref="B21:D21"/>
    <mergeCell ref="A7:B7"/>
    <mergeCell ref="A8:B8"/>
    <mergeCell ref="A9:B9"/>
    <mergeCell ref="A10:D10"/>
    <mergeCell ref="B13:D13"/>
    <mergeCell ref="B14:D14"/>
    <mergeCell ref="B15:D15"/>
    <mergeCell ref="B16:D16"/>
    <mergeCell ref="B18:D18"/>
    <mergeCell ref="B19:D19"/>
    <mergeCell ref="B20:D20"/>
    <mergeCell ref="A6:B6"/>
    <mergeCell ref="A1:E1"/>
    <mergeCell ref="A2:D2"/>
    <mergeCell ref="A3:B3"/>
    <mergeCell ref="A4:B4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7"/>
  <sheetViews>
    <sheetView topLeftCell="A19" workbookViewId="0">
      <selection activeCell="H36" sqref="H36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" customHeight="1" x14ac:dyDescent="0.3">
      <c r="A1" s="103" t="s">
        <v>95</v>
      </c>
      <c r="B1" s="103"/>
      <c r="C1" s="103"/>
      <c r="D1" s="103"/>
      <c r="E1" s="103"/>
    </row>
    <row r="2" spans="1:5" ht="15" thickBot="1" x14ac:dyDescent="0.35">
      <c r="A2" s="106" t="s">
        <v>59</v>
      </c>
      <c r="B2" s="106"/>
      <c r="C2" s="106"/>
      <c r="D2" s="106"/>
      <c r="E2" s="31"/>
    </row>
    <row r="3" spans="1:5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x14ac:dyDescent="0.3">
      <c r="A4" s="101" t="s">
        <v>3</v>
      </c>
      <c r="B4" s="102"/>
      <c r="C4" s="35"/>
      <c r="D4" s="36"/>
      <c r="E4" s="18"/>
    </row>
    <row r="5" spans="1:5" x14ac:dyDescent="0.3">
      <c r="A5" s="101" t="s">
        <v>4</v>
      </c>
      <c r="B5" s="102"/>
      <c r="C5" s="35"/>
      <c r="D5" s="36"/>
      <c r="E5" s="18"/>
    </row>
    <row r="6" spans="1:5" x14ac:dyDescent="0.3">
      <c r="A6" s="101" t="s">
        <v>5</v>
      </c>
      <c r="B6" s="102"/>
      <c r="C6" s="35"/>
      <c r="D6" s="36"/>
      <c r="E6" s="18"/>
    </row>
    <row r="7" spans="1:5" x14ac:dyDescent="0.3">
      <c r="A7" s="101" t="s">
        <v>6</v>
      </c>
      <c r="B7" s="102"/>
      <c r="C7" s="35"/>
      <c r="D7" s="36"/>
      <c r="E7" s="18"/>
    </row>
    <row r="8" spans="1:5" x14ac:dyDescent="0.3">
      <c r="A8" s="107" t="s">
        <v>7</v>
      </c>
      <c r="B8" s="108"/>
      <c r="C8" s="37"/>
      <c r="D8" s="38"/>
      <c r="E8" s="39"/>
    </row>
    <row r="9" spans="1:5" ht="15" thickBot="1" x14ac:dyDescent="0.35">
      <c r="A9" s="109" t="s">
        <v>8</v>
      </c>
      <c r="B9" s="110"/>
      <c r="C9" s="40"/>
      <c r="D9" s="40"/>
      <c r="E9" s="40"/>
    </row>
    <row r="10" spans="1:5" x14ac:dyDescent="0.3">
      <c r="A10" s="112" t="s">
        <v>60</v>
      </c>
      <c r="B10" s="112"/>
      <c r="C10" s="112"/>
      <c r="D10" s="112"/>
      <c r="E10" s="41">
        <f>E2+C9-D9</f>
        <v>0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15" thickBot="1" x14ac:dyDescent="0.35">
      <c r="A14" s="5">
        <v>1</v>
      </c>
      <c r="B14" s="113" t="s">
        <v>63</v>
      </c>
      <c r="C14" s="114"/>
      <c r="D14" s="115"/>
      <c r="E14" s="10">
        <v>0</v>
      </c>
    </row>
    <row r="15" spans="1:5" ht="15" thickBot="1" x14ac:dyDescent="0.35">
      <c r="A15" s="5">
        <v>2</v>
      </c>
      <c r="B15" s="116" t="s">
        <v>64</v>
      </c>
      <c r="C15" s="117"/>
      <c r="D15" s="118"/>
      <c r="E15" s="8">
        <v>0</v>
      </c>
    </row>
    <row r="16" spans="1:5" x14ac:dyDescent="0.3">
      <c r="A16" s="68">
        <v>3</v>
      </c>
      <c r="B16" s="98" t="s">
        <v>65</v>
      </c>
      <c r="C16" s="99"/>
      <c r="D16" s="100"/>
      <c r="E16" s="46">
        <v>0</v>
      </c>
    </row>
    <row r="17" spans="1:5" x14ac:dyDescent="0.3">
      <c r="A17" s="66"/>
      <c r="B17" s="47" t="s">
        <v>66</v>
      </c>
      <c r="C17" s="48"/>
      <c r="D17" s="49"/>
      <c r="E17" s="50">
        <f>SUM(E18:E21)</f>
        <v>11801.35</v>
      </c>
    </row>
    <row r="18" spans="1:5" x14ac:dyDescent="0.3">
      <c r="A18" s="51"/>
      <c r="B18" s="82" t="s">
        <v>141</v>
      </c>
      <c r="C18" s="83"/>
      <c r="D18" s="84"/>
      <c r="E18" s="52">
        <v>11801.35</v>
      </c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x14ac:dyDescent="0.3">
      <c r="A22" s="65">
        <v>4</v>
      </c>
      <c r="B22" s="98" t="s">
        <v>67</v>
      </c>
      <c r="C22" s="99"/>
      <c r="D22" s="100"/>
      <c r="E22" s="46">
        <v>0</v>
      </c>
    </row>
    <row r="23" spans="1:5" x14ac:dyDescent="0.3">
      <c r="A23" s="66"/>
      <c r="B23" s="47" t="s">
        <v>66</v>
      </c>
      <c r="C23" s="48"/>
      <c r="D23" s="49"/>
      <c r="E23" s="50">
        <f>SUM(E24:E27)</f>
        <v>123994.73</v>
      </c>
    </row>
    <row r="24" spans="1:5" x14ac:dyDescent="0.3">
      <c r="A24" s="51"/>
      <c r="B24" s="82" t="s">
        <v>139</v>
      </c>
      <c r="C24" s="83"/>
      <c r="D24" s="84"/>
      <c r="E24" s="52">
        <v>123994.73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0</v>
      </c>
    </row>
    <row r="29" spans="1:5" ht="15" thickBot="1" x14ac:dyDescent="0.35">
      <c r="A29" s="67">
        <v>6</v>
      </c>
      <c r="B29" s="124" t="s">
        <v>69</v>
      </c>
      <c r="C29" s="125"/>
      <c r="D29" s="126"/>
      <c r="E29" s="57">
        <v>0</v>
      </c>
    </row>
    <row r="30" spans="1:5" x14ac:dyDescent="0.3">
      <c r="A30" s="68">
        <v>7</v>
      </c>
      <c r="B30" s="130" t="s">
        <v>70</v>
      </c>
      <c r="C30" s="131"/>
      <c r="D30" s="132"/>
      <c r="E30" s="58">
        <f>SUM(E32:E35)</f>
        <v>111197.86</v>
      </c>
    </row>
    <row r="31" spans="1:5" x14ac:dyDescent="0.3">
      <c r="A31" s="66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82336.44</v>
      </c>
    </row>
    <row r="33" spans="1:5" x14ac:dyDescent="0.3">
      <c r="A33" s="61"/>
      <c r="B33" s="127" t="s">
        <v>73</v>
      </c>
      <c r="C33" s="127"/>
      <c r="D33" s="127"/>
      <c r="E33" s="13">
        <v>28787.42</v>
      </c>
    </row>
    <row r="34" spans="1:5" x14ac:dyDescent="0.3">
      <c r="A34" s="69"/>
      <c r="B34" s="133" t="s">
        <v>74</v>
      </c>
      <c r="C34" s="134"/>
      <c r="D34" s="135"/>
      <c r="E34" s="13">
        <v>74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x14ac:dyDescent="0.3">
      <c r="A36" s="68">
        <v>8</v>
      </c>
      <c r="B36" s="98" t="s">
        <v>76</v>
      </c>
      <c r="C36" s="99"/>
      <c r="D36" s="100"/>
      <c r="E36" s="58">
        <f>SUM(E38:E39)</f>
        <v>0</v>
      </c>
    </row>
    <row r="37" spans="1:5" x14ac:dyDescent="0.3">
      <c r="A37" s="66"/>
      <c r="B37" s="59" t="s">
        <v>71</v>
      </c>
      <c r="C37" s="11"/>
      <c r="D37" s="12"/>
      <c r="E37" s="60"/>
    </row>
    <row r="38" spans="1:5" x14ac:dyDescent="0.3">
      <c r="A38" s="66"/>
      <c r="B38" s="129" t="s">
        <v>77</v>
      </c>
      <c r="C38" s="129"/>
      <c r="D38" s="129"/>
      <c r="E38" s="13">
        <v>0</v>
      </c>
    </row>
    <row r="39" spans="1:5" ht="15" thickBot="1" x14ac:dyDescent="0.35">
      <c r="A39" s="67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/>
    </row>
    <row r="41" spans="1:5" ht="15" thickBot="1" x14ac:dyDescent="0.35">
      <c r="A41" s="9">
        <v>10</v>
      </c>
      <c r="B41" s="76" t="s">
        <v>11</v>
      </c>
      <c r="C41" s="77"/>
      <c r="D41" s="78"/>
      <c r="E41" s="17"/>
    </row>
    <row r="42" spans="1:5" ht="15" thickBot="1" x14ac:dyDescent="0.35">
      <c r="A42" s="9">
        <v>11</v>
      </c>
      <c r="B42" s="76" t="s">
        <v>12</v>
      </c>
      <c r="C42" s="77"/>
      <c r="D42" s="78"/>
      <c r="E42" s="17"/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10468.25</v>
      </c>
    </row>
    <row r="44" spans="1:5" ht="15" thickBot="1" x14ac:dyDescent="0.35">
      <c r="A44" s="9">
        <v>13</v>
      </c>
      <c r="B44" s="70" t="s">
        <v>138</v>
      </c>
      <c r="C44" s="71"/>
      <c r="D44" s="72"/>
      <c r="E44" s="17"/>
    </row>
    <row r="45" spans="1:5" ht="15" thickBot="1" x14ac:dyDescent="0.35">
      <c r="A45" s="9">
        <v>14</v>
      </c>
      <c r="B45" s="76" t="s">
        <v>80</v>
      </c>
      <c r="C45" s="77"/>
      <c r="D45" s="78"/>
      <c r="E45" s="17"/>
    </row>
    <row r="46" spans="1:5" ht="15" thickBot="1" x14ac:dyDescent="0.35">
      <c r="A46" s="9">
        <v>15</v>
      </c>
      <c r="B46" s="119" t="s">
        <v>81</v>
      </c>
      <c r="C46" s="120"/>
      <c r="D46" s="121"/>
      <c r="E46" s="20"/>
    </row>
    <row r="47" spans="1:5" ht="15" thickBot="1" x14ac:dyDescent="0.35">
      <c r="A47" s="9">
        <v>16</v>
      </c>
      <c r="B47" s="63" t="s">
        <v>82</v>
      </c>
      <c r="C47" s="64"/>
      <c r="D47" s="64"/>
      <c r="E47" s="8">
        <f>E14+E15+E16+E22+E28+E29+E30+E36+E40+E41+E42+E43+E45+E46</f>
        <v>121666.11</v>
      </c>
    </row>
  </sheetData>
  <mergeCells count="39">
    <mergeCell ref="B43:D43"/>
    <mergeCell ref="B45:D45"/>
    <mergeCell ref="B46:D46"/>
    <mergeCell ref="B36:D36"/>
    <mergeCell ref="B38:D38"/>
    <mergeCell ref="B39:D39"/>
    <mergeCell ref="B40:D40"/>
    <mergeCell ref="B41:D41"/>
    <mergeCell ref="B42:D42"/>
    <mergeCell ref="B35:D35"/>
    <mergeCell ref="B22:D22"/>
    <mergeCell ref="B24:D24"/>
    <mergeCell ref="B25:D25"/>
    <mergeCell ref="B26:D26"/>
    <mergeCell ref="B27:D27"/>
    <mergeCell ref="B28:D28"/>
    <mergeCell ref="B29:D29"/>
    <mergeCell ref="B30:D30"/>
    <mergeCell ref="B32:D32"/>
    <mergeCell ref="B33:D33"/>
    <mergeCell ref="B34:D34"/>
    <mergeCell ref="B21:D21"/>
    <mergeCell ref="A7:B7"/>
    <mergeCell ref="A8:B8"/>
    <mergeCell ref="A9:B9"/>
    <mergeCell ref="A10:D10"/>
    <mergeCell ref="B13:D13"/>
    <mergeCell ref="B14:D14"/>
    <mergeCell ref="B15:D15"/>
    <mergeCell ref="B16:D16"/>
    <mergeCell ref="B18:D18"/>
    <mergeCell ref="B19:D19"/>
    <mergeCell ref="B20:D20"/>
    <mergeCell ref="A6:B6"/>
    <mergeCell ref="A1:E1"/>
    <mergeCell ref="A2:D2"/>
    <mergeCell ref="A3:B3"/>
    <mergeCell ref="A4:B4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1" zoomScaleNormal="100" workbookViewId="0">
      <selection activeCell="C5" sqref="C5:C7"/>
    </sheetView>
  </sheetViews>
  <sheetFormatPr defaultRowHeight="14.4" x14ac:dyDescent="0.3"/>
  <cols>
    <col min="1" max="1" width="5.109375" style="21" customWidth="1"/>
    <col min="2" max="2" width="44.5546875" style="22" customWidth="1"/>
    <col min="3" max="3" width="13" style="23" customWidth="1"/>
    <col min="4" max="4" width="15.33203125" style="22" customWidth="1"/>
    <col min="5" max="5" width="17.5546875" style="22" customWidth="1"/>
    <col min="6" max="6" width="15.88671875" customWidth="1"/>
  </cols>
  <sheetData>
    <row r="1" spans="1:5" ht="41.25" customHeight="1" x14ac:dyDescent="0.3">
      <c r="A1" s="142" t="s">
        <v>18</v>
      </c>
      <c r="B1" s="142"/>
      <c r="C1" s="142"/>
      <c r="D1" s="142"/>
      <c r="E1" s="142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92859.62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772842.96</v>
      </c>
      <c r="D4" s="36">
        <v>655934.18999999994</v>
      </c>
      <c r="E4" s="18"/>
    </row>
    <row r="5" spans="1:5" ht="14.4" customHeight="1" x14ac:dyDescent="0.3">
      <c r="A5" s="101" t="s">
        <v>4</v>
      </c>
      <c r="B5" s="102"/>
      <c r="C5" s="35">
        <v>727.74</v>
      </c>
      <c r="D5" s="36">
        <v>615.29999999999995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615</v>
      </c>
      <c r="D7" s="36">
        <v>519.92999999999995</v>
      </c>
      <c r="E7" s="18"/>
    </row>
    <row r="8" spans="1:5" ht="14.4" customHeight="1" x14ac:dyDescent="0.3">
      <c r="A8" s="107" t="s">
        <v>7</v>
      </c>
      <c r="B8" s="108"/>
      <c r="C8" s="37">
        <v>7663.86</v>
      </c>
      <c r="D8" s="38">
        <v>6436.6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781849.55999999994</v>
      </c>
      <c r="D9" s="40">
        <f t="shared" ref="D9" si="0">SUM(D4:D8)</f>
        <v>663506.02</v>
      </c>
      <c r="E9" s="40">
        <f>D9/C9*100</f>
        <v>84.863643077320404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211203.15999999992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72805.83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56661.9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9263.28+20449.57</f>
        <v>29712.85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13894.92+248696.5</f>
        <v>262591.42</v>
      </c>
    </row>
    <row r="23" spans="1:5" ht="15.75" customHeight="1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12145.18</v>
      </c>
    </row>
    <row r="29" spans="1:5" ht="27" customHeight="1" thickBot="1" x14ac:dyDescent="0.35">
      <c r="A29" s="28">
        <v>6</v>
      </c>
      <c r="B29" s="124" t="s">
        <v>69</v>
      </c>
      <c r="C29" s="125"/>
      <c r="D29" s="126"/>
      <c r="E29" s="57">
        <v>32400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4.4" customHeight="1" thickBot="1" x14ac:dyDescent="0.35">
      <c r="A35" s="62"/>
      <c r="B35" s="128" t="s">
        <v>75</v>
      </c>
      <c r="C35" s="128"/>
      <c r="D35" s="128"/>
      <c r="E35" s="16">
        <v>0</v>
      </c>
    </row>
    <row r="36" spans="1:5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267.25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x14ac:dyDescent="0.3">
      <c r="A38" s="27"/>
      <c r="B38" s="129" t="s">
        <v>77</v>
      </c>
      <c r="C38" s="129"/>
      <c r="D38" s="129"/>
      <c r="E38" s="13">
        <v>195.25</v>
      </c>
    </row>
    <row r="39" spans="1:5" ht="15" thickBot="1" x14ac:dyDescent="0.35">
      <c r="A39" s="28"/>
      <c r="B39" s="136" t="s">
        <v>78</v>
      </c>
      <c r="C39" s="136"/>
      <c r="D39" s="136"/>
      <c r="E39" s="16">
        <v>72</v>
      </c>
    </row>
    <row r="40" spans="1:5" ht="14.4" customHeight="1" thickBot="1" x14ac:dyDescent="0.35">
      <c r="A40" s="9">
        <v>9</v>
      </c>
      <c r="B40" s="76" t="s">
        <v>10</v>
      </c>
      <c r="C40" s="77"/>
      <c r="D40" s="78"/>
      <c r="E40" s="17">
        <v>20984.880000000001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10396.799999999999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61644.84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16455.939999999999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25181.86</v>
      </c>
    </row>
    <row r="45" spans="1:5" ht="26.4" customHeight="1" thickBot="1" x14ac:dyDescent="0.35">
      <c r="A45" s="5">
        <v>14</v>
      </c>
      <c r="B45" s="119" t="s">
        <v>81</v>
      </c>
      <c r="C45" s="120"/>
      <c r="D45" s="121"/>
      <c r="E45" s="20">
        <v>9017.91</v>
      </c>
    </row>
    <row r="46" spans="1:5" ht="22.95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610266.65999999992</v>
      </c>
    </row>
  </sheetData>
  <mergeCells count="39">
    <mergeCell ref="B45:D45"/>
    <mergeCell ref="B33:D33"/>
    <mergeCell ref="B34:D34"/>
    <mergeCell ref="B35:D35"/>
    <mergeCell ref="B38:D38"/>
    <mergeCell ref="B40:D40"/>
    <mergeCell ref="B42:D42"/>
    <mergeCell ref="B43:D43"/>
    <mergeCell ref="B41:D41"/>
    <mergeCell ref="B44:D44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18:D18"/>
    <mergeCell ref="B19:D19"/>
    <mergeCell ref="B20:D20"/>
    <mergeCell ref="B26:D26"/>
    <mergeCell ref="B27:D27"/>
    <mergeCell ref="B21:D21"/>
    <mergeCell ref="B24:D24"/>
    <mergeCell ref="B25:D25"/>
    <mergeCell ref="B22:D22"/>
    <mergeCell ref="B28:D28"/>
    <mergeCell ref="B30:D30"/>
    <mergeCell ref="B32:D32"/>
    <mergeCell ref="B36:D36"/>
    <mergeCell ref="B39:D39"/>
    <mergeCell ref="B29:D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2" workbookViewId="0">
      <selection activeCell="C4" sqref="C4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6" customHeight="1" x14ac:dyDescent="0.3">
      <c r="A1" s="103" t="s">
        <v>19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132933.39000000001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1353429.39+83694</f>
        <v>1437123.39</v>
      </c>
      <c r="D4" s="36">
        <f>1319789.72+106314.68</f>
        <v>1426104.4</v>
      </c>
      <c r="E4" s="18"/>
    </row>
    <row r="5" spans="1:5" ht="14.4" customHeight="1" x14ac:dyDescent="0.3">
      <c r="A5" s="101" t="s">
        <v>4</v>
      </c>
      <c r="B5" s="102"/>
      <c r="C5" s="35">
        <v>1234.3499999999999</v>
      </c>
      <c r="D5" s="36">
        <v>1199.18</v>
      </c>
      <c r="E5" s="18"/>
    </row>
    <row r="6" spans="1:5" ht="14.4" customHeight="1" x14ac:dyDescent="0.3">
      <c r="A6" s="101" t="s">
        <v>5</v>
      </c>
      <c r="B6" s="102"/>
      <c r="C6" s="35">
        <f>1243.17+5461.38</f>
        <v>6704.55</v>
      </c>
      <c r="D6" s="36">
        <f>1209.06+5297.39</f>
        <v>6506.4500000000007</v>
      </c>
      <c r="E6" s="18"/>
    </row>
    <row r="7" spans="1:5" ht="14.4" customHeight="1" x14ac:dyDescent="0.3">
      <c r="A7" s="101" t="s">
        <v>6</v>
      </c>
      <c r="B7" s="102"/>
      <c r="C7" s="35">
        <v>2087.31</v>
      </c>
      <c r="D7" s="36">
        <v>2027.6</v>
      </c>
      <c r="E7" s="18"/>
    </row>
    <row r="8" spans="1:5" ht="14.4" customHeight="1" x14ac:dyDescent="0.3">
      <c r="A8" s="107" t="s">
        <v>7</v>
      </c>
      <c r="B8" s="108"/>
      <c r="C8" s="37">
        <v>87717.66</v>
      </c>
      <c r="D8" s="38">
        <v>84654.54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1534867.26</v>
      </c>
      <c r="D9" s="40">
        <f t="shared" ref="D9" si="0">SUM(D4:D8)</f>
        <v>1520492.17</v>
      </c>
      <c r="E9" s="40">
        <f>D9/C9*100</f>
        <v>99.063431061784442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147308.47999999998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95" customHeight="1" thickBot="1" x14ac:dyDescent="0.35">
      <c r="A14" s="5">
        <v>1</v>
      </c>
      <c r="B14" s="113" t="s">
        <v>63</v>
      </c>
      <c r="C14" s="114"/>
      <c r="D14" s="115"/>
      <c r="E14" s="10">
        <v>45300.44</v>
      </c>
    </row>
    <row r="15" spans="1:5" ht="43.95" customHeight="1" thickBot="1" x14ac:dyDescent="0.35">
      <c r="A15" s="5">
        <v>2</v>
      </c>
      <c r="B15" s="116" t="s">
        <v>64</v>
      </c>
      <c r="C15" s="117"/>
      <c r="D15" s="118"/>
      <c r="E15" s="8">
        <v>145243.34</v>
      </c>
    </row>
    <row r="16" spans="1:5" ht="43.95" customHeight="1" x14ac:dyDescent="0.3">
      <c r="A16" s="26">
        <v>3</v>
      </c>
      <c r="B16" s="98" t="s">
        <v>65</v>
      </c>
      <c r="C16" s="99"/>
      <c r="D16" s="100"/>
      <c r="E16" s="46">
        <f>13238.61+29225.48</f>
        <v>42464.09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19857.91+355424.36</f>
        <v>375282.26999999996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11226.34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13500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90252.67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86191.8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3986.87</v>
      </c>
    </row>
    <row r="34" spans="1:5" x14ac:dyDescent="0.3">
      <c r="A34" s="30"/>
      <c r="B34" s="133" t="s">
        <v>74</v>
      </c>
      <c r="C34" s="134"/>
      <c r="D34" s="135"/>
      <c r="E34" s="13">
        <v>74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.6" customHeight="1" x14ac:dyDescent="0.3">
      <c r="A36" s="26">
        <v>8</v>
      </c>
      <c r="B36" s="98" t="s">
        <v>76</v>
      </c>
      <c r="C36" s="99"/>
      <c r="D36" s="100"/>
      <c r="E36" s="58">
        <f>SUM(E38:E39)</f>
        <v>11795.8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5645.2</v>
      </c>
    </row>
    <row r="39" spans="1:5" ht="15" thickBot="1" x14ac:dyDescent="0.35">
      <c r="A39" s="28"/>
      <c r="B39" s="136" t="s">
        <v>78</v>
      </c>
      <c r="C39" s="136"/>
      <c r="D39" s="136"/>
      <c r="E39" s="16">
        <v>6150.6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28350.84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12996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88099.66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23517.99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35988.620000000003</v>
      </c>
    </row>
    <row r="45" spans="1:5" ht="28.2" customHeight="1" thickBot="1" x14ac:dyDescent="0.35">
      <c r="A45" s="5">
        <v>14</v>
      </c>
      <c r="B45" s="119" t="s">
        <v>81</v>
      </c>
      <c r="C45" s="120"/>
      <c r="D45" s="121"/>
      <c r="E45" s="46">
        <v>108653.91</v>
      </c>
    </row>
    <row r="46" spans="1:5" ht="24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1032671.97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9" workbookViewId="0">
      <selection activeCell="C5" sqref="C5:C8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.75" customHeight="1" x14ac:dyDescent="0.3">
      <c r="A1" s="103" t="s">
        <v>20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69173.06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f>786238.2+195675</f>
        <v>981913.2</v>
      </c>
      <c r="D4" s="36">
        <f>759175.83+97837.5</f>
        <v>857013.33</v>
      </c>
      <c r="E4" s="18"/>
    </row>
    <row r="5" spans="1:5" ht="14.4" customHeight="1" x14ac:dyDescent="0.3">
      <c r="A5" s="101" t="s">
        <v>4</v>
      </c>
      <c r="B5" s="102"/>
      <c r="C5" s="35">
        <v>787.8</v>
      </c>
      <c r="D5" s="36">
        <v>757.1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665.7</v>
      </c>
      <c r="D7" s="36">
        <v>639.79</v>
      </c>
      <c r="E7" s="18"/>
    </row>
    <row r="8" spans="1:5" ht="14.4" customHeight="1" x14ac:dyDescent="0.3">
      <c r="A8" s="107" t="s">
        <v>7</v>
      </c>
      <c r="B8" s="108"/>
      <c r="C8" s="37">
        <v>8293.86</v>
      </c>
      <c r="D8" s="38">
        <v>7923.88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991660.55999999994</v>
      </c>
      <c r="D9" s="40">
        <f t="shared" ref="D9" si="0">SUM(D4:D8)</f>
        <v>866334.1</v>
      </c>
      <c r="E9" s="40">
        <f>D9/C9*100</f>
        <v>87.361959822219816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194499.5199999999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95" customHeight="1" thickBot="1" x14ac:dyDescent="0.35">
      <c r="A14" s="5">
        <v>1</v>
      </c>
      <c r="B14" s="113" t="s">
        <v>63</v>
      </c>
      <c r="C14" s="114"/>
      <c r="D14" s="115"/>
      <c r="E14" s="10">
        <v>97807.17</v>
      </c>
    </row>
    <row r="15" spans="1:5" ht="43.95" customHeight="1" thickBot="1" x14ac:dyDescent="0.35">
      <c r="A15" s="5">
        <v>2</v>
      </c>
      <c r="B15" s="116" t="s">
        <v>64</v>
      </c>
      <c r="C15" s="117"/>
      <c r="D15" s="118"/>
      <c r="E15" s="8">
        <v>76399.13</v>
      </c>
    </row>
    <row r="16" spans="1:5" ht="43.95" customHeight="1" x14ac:dyDescent="0.3">
      <c r="A16" s="26">
        <v>3</v>
      </c>
      <c r="B16" s="98" t="s">
        <v>65</v>
      </c>
      <c r="C16" s="99"/>
      <c r="D16" s="100"/>
      <c r="E16" s="46">
        <f>11741.32+25920.08</f>
        <v>37661.4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17611.99+E23+315225.96</f>
        <v>344829.32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11991.37</v>
      </c>
    </row>
    <row r="24" spans="1:5" x14ac:dyDescent="0.3">
      <c r="A24" s="51"/>
      <c r="B24" s="82" t="s">
        <v>105</v>
      </c>
      <c r="C24" s="83"/>
      <c r="D24" s="84"/>
      <c r="E24" s="52">
        <v>11991.37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15066.61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34560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321.56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250.76</v>
      </c>
    </row>
    <row r="39" spans="1:5" ht="15" thickBot="1" x14ac:dyDescent="0.35">
      <c r="A39" s="28"/>
      <c r="B39" s="136" t="s">
        <v>78</v>
      </c>
      <c r="C39" s="136"/>
      <c r="D39" s="136"/>
      <c r="E39" s="16">
        <v>70.8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21348.6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11089.92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78135.61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20858.11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31918.32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12145.8</v>
      </c>
    </row>
    <row r="46" spans="1:5" ht="21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782141.55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25" workbookViewId="0">
      <selection activeCell="C4" sqref="C4"/>
    </sheetView>
  </sheetViews>
  <sheetFormatPr defaultRowHeight="14.4" x14ac:dyDescent="0.3"/>
  <cols>
    <col min="1" max="1" width="5.109375" style="1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40.5" customHeight="1" x14ac:dyDescent="0.3">
      <c r="A1" s="103" t="s">
        <v>21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100946.82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979557.48</v>
      </c>
      <c r="D4" s="36">
        <v>905065.41</v>
      </c>
      <c r="E4" s="18"/>
    </row>
    <row r="5" spans="1:5" ht="14.4" customHeight="1" x14ac:dyDescent="0.3">
      <c r="A5" s="101" t="s">
        <v>4</v>
      </c>
      <c r="B5" s="102"/>
      <c r="C5" s="35">
        <v>994.08</v>
      </c>
      <c r="D5" s="36">
        <v>915.26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840.42</v>
      </c>
      <c r="D7" s="36">
        <v>773.7</v>
      </c>
      <c r="E7" s="18"/>
    </row>
    <row r="8" spans="1:5" ht="14.4" customHeight="1" x14ac:dyDescent="0.3">
      <c r="A8" s="107" t="s">
        <v>7</v>
      </c>
      <c r="B8" s="108"/>
      <c r="C8" s="37">
        <v>10469.129999999999</v>
      </c>
      <c r="D8" s="38">
        <v>9573.64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991861.11</v>
      </c>
      <c r="D9" s="40">
        <f t="shared" ref="D9" si="0">SUM(D4:D8)</f>
        <v>916328.01</v>
      </c>
      <c r="E9" s="40">
        <f>D9/C9*100</f>
        <v>92.384709992309311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176479.91999999993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1.4" customHeight="1" thickBot="1" x14ac:dyDescent="0.35">
      <c r="A14" s="5">
        <v>1</v>
      </c>
      <c r="B14" s="113" t="s">
        <v>63</v>
      </c>
      <c r="C14" s="114"/>
      <c r="D14" s="115"/>
      <c r="E14" s="10">
        <v>36448.53</v>
      </c>
    </row>
    <row r="15" spans="1:5" ht="41.4" customHeight="1" thickBot="1" x14ac:dyDescent="0.35">
      <c r="A15" s="5">
        <v>2</v>
      </c>
      <c r="B15" s="116" t="s">
        <v>64</v>
      </c>
      <c r="C15" s="117"/>
      <c r="D15" s="118"/>
      <c r="E15" s="8">
        <v>77406.45</v>
      </c>
    </row>
    <row r="16" spans="1:5" ht="41.4" customHeight="1" x14ac:dyDescent="0.3">
      <c r="A16" s="26">
        <v>3</v>
      </c>
      <c r="B16" s="98" t="s">
        <v>65</v>
      </c>
      <c r="C16" s="99"/>
      <c r="D16" s="100"/>
      <c r="E16" s="46">
        <f>11740.95+25919.26</f>
        <v>37660.21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1.4" customHeight="1" x14ac:dyDescent="0.3">
      <c r="A22" s="29">
        <v>4</v>
      </c>
      <c r="B22" s="98" t="s">
        <v>67</v>
      </c>
      <c r="C22" s="99"/>
      <c r="D22" s="100"/>
      <c r="E22" s="46">
        <f>17611.43+315216</f>
        <v>332827.43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0</v>
      </c>
    </row>
    <row r="24" spans="1:5" x14ac:dyDescent="0.3">
      <c r="A24" s="51"/>
      <c r="B24" s="85"/>
      <c r="C24" s="140"/>
      <c r="D24" s="141"/>
      <c r="E24" s="52"/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19460.560000000001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43200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x14ac:dyDescent="0.3">
      <c r="A32" s="51"/>
      <c r="B32" s="127" t="s">
        <v>72</v>
      </c>
      <c r="C32" s="127"/>
      <c r="D32" s="127"/>
      <c r="E32" s="13">
        <v>0</v>
      </c>
    </row>
    <row r="33" spans="1:5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5" x14ac:dyDescent="0.3">
      <c r="A34" s="30"/>
      <c r="B34" s="133" t="s">
        <v>74</v>
      </c>
      <c r="C34" s="134"/>
      <c r="D34" s="135"/>
      <c r="E34" s="13">
        <v>0</v>
      </c>
    </row>
    <row r="35" spans="1:5" ht="15" thickBot="1" x14ac:dyDescent="0.35">
      <c r="A35" s="62"/>
      <c r="B35" s="128" t="s">
        <v>75</v>
      </c>
      <c r="C35" s="128"/>
      <c r="D35" s="128"/>
      <c r="E35" s="16">
        <v>0</v>
      </c>
    </row>
    <row r="36" spans="1:5" ht="28.2" customHeight="1" x14ac:dyDescent="0.3">
      <c r="A36" s="26">
        <v>8</v>
      </c>
      <c r="B36" s="98" t="s">
        <v>76</v>
      </c>
      <c r="C36" s="99"/>
      <c r="D36" s="100"/>
      <c r="E36" s="58">
        <f>SUM(E38:E39)</f>
        <v>258.76</v>
      </c>
    </row>
    <row r="37" spans="1:5" x14ac:dyDescent="0.3">
      <c r="A37" s="27"/>
      <c r="B37" s="59" t="s">
        <v>71</v>
      </c>
      <c r="C37" s="11"/>
      <c r="D37" s="12"/>
      <c r="E37" s="60"/>
    </row>
    <row r="38" spans="1:5" ht="14.4" customHeight="1" x14ac:dyDescent="0.3">
      <c r="A38" s="27"/>
      <c r="B38" s="129" t="s">
        <v>77</v>
      </c>
      <c r="C38" s="129"/>
      <c r="D38" s="129"/>
      <c r="E38" s="13">
        <v>258.76</v>
      </c>
    </row>
    <row r="39" spans="1:5" ht="15" thickBot="1" x14ac:dyDescent="0.35">
      <c r="A39" s="28"/>
      <c r="B39" s="136" t="s">
        <v>78</v>
      </c>
      <c r="C39" s="136"/>
      <c r="D39" s="136"/>
      <c r="E39" s="16">
        <v>0</v>
      </c>
    </row>
    <row r="40" spans="1:5" ht="15" thickBot="1" x14ac:dyDescent="0.35">
      <c r="A40" s="9">
        <v>9</v>
      </c>
      <c r="B40" s="76" t="s">
        <v>10</v>
      </c>
      <c r="C40" s="77"/>
      <c r="D40" s="78"/>
      <c r="E40" s="17">
        <v>26597.759999999998</v>
      </c>
    </row>
    <row r="41" spans="1:5" ht="15" thickBot="1" x14ac:dyDescent="0.35">
      <c r="A41" s="9">
        <v>10</v>
      </c>
      <c r="B41" s="76" t="s">
        <v>11</v>
      </c>
      <c r="C41" s="77"/>
      <c r="D41" s="78"/>
      <c r="E41" s="17">
        <v>13862.4</v>
      </c>
    </row>
    <row r="42" spans="1:5" ht="15" thickBot="1" x14ac:dyDescent="0.35">
      <c r="A42" s="9">
        <v>11</v>
      </c>
      <c r="B42" s="76" t="s">
        <v>12</v>
      </c>
      <c r="C42" s="77"/>
      <c r="D42" s="78"/>
      <c r="E42" s="17">
        <v>78133.14</v>
      </c>
    </row>
    <row r="43" spans="1:5" ht="15" thickBot="1" x14ac:dyDescent="0.35">
      <c r="A43" s="9">
        <v>12</v>
      </c>
      <c r="B43" s="76" t="s">
        <v>79</v>
      </c>
      <c r="C43" s="77"/>
      <c r="D43" s="78"/>
      <c r="E43" s="17">
        <v>20857.45</v>
      </c>
    </row>
    <row r="44" spans="1:5" ht="15" thickBot="1" x14ac:dyDescent="0.35">
      <c r="A44" s="9">
        <v>13</v>
      </c>
      <c r="B44" s="76" t="s">
        <v>80</v>
      </c>
      <c r="C44" s="77"/>
      <c r="D44" s="78"/>
      <c r="E44" s="17">
        <v>31917.31</v>
      </c>
    </row>
    <row r="45" spans="1:5" ht="27.6" customHeight="1" thickBot="1" x14ac:dyDescent="0.35">
      <c r="A45" s="5">
        <v>14</v>
      </c>
      <c r="B45" s="119" t="s">
        <v>81</v>
      </c>
      <c r="C45" s="120"/>
      <c r="D45" s="121"/>
      <c r="E45" s="20">
        <v>12305.22</v>
      </c>
    </row>
    <row r="46" spans="1:5" ht="22.2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730935.22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7" workbookViewId="0">
      <selection activeCell="F45" sqref="F45"/>
    </sheetView>
  </sheetViews>
  <sheetFormatPr defaultRowHeight="14.4" x14ac:dyDescent="0.3"/>
  <cols>
    <col min="1" max="1" width="5.109375" style="25" customWidth="1"/>
    <col min="2" max="2" width="44.5546875" style="2" customWidth="1"/>
    <col min="3" max="3" width="13" style="3" customWidth="1"/>
    <col min="4" max="4" width="15.33203125" customWidth="1"/>
    <col min="5" max="5" width="17.5546875" customWidth="1"/>
  </cols>
  <sheetData>
    <row r="1" spans="1:5" ht="39.75" customHeight="1" x14ac:dyDescent="0.3">
      <c r="A1" s="103" t="s">
        <v>22</v>
      </c>
      <c r="B1" s="103"/>
      <c r="C1" s="103"/>
      <c r="D1" s="103"/>
      <c r="E1" s="103"/>
    </row>
    <row r="2" spans="1:5" ht="15.75" customHeight="1" thickBot="1" x14ac:dyDescent="0.35">
      <c r="A2" s="106" t="s">
        <v>59</v>
      </c>
      <c r="B2" s="106"/>
      <c r="C2" s="106"/>
      <c r="D2" s="106"/>
      <c r="E2" s="31">
        <v>126637.72</v>
      </c>
    </row>
    <row r="3" spans="1:5" ht="14.4" customHeight="1" x14ac:dyDescent="0.3">
      <c r="A3" s="104" t="s">
        <v>83</v>
      </c>
      <c r="B3" s="105"/>
      <c r="C3" s="32" t="s">
        <v>0</v>
      </c>
      <c r="D3" s="33" t="s">
        <v>1</v>
      </c>
      <c r="E3" s="34" t="s">
        <v>2</v>
      </c>
    </row>
    <row r="4" spans="1:5" ht="14.4" customHeight="1" x14ac:dyDescent="0.3">
      <c r="A4" s="101" t="s">
        <v>3</v>
      </c>
      <c r="B4" s="102"/>
      <c r="C4" s="35">
        <v>992828.52</v>
      </c>
      <c r="D4" s="36">
        <v>886359.23</v>
      </c>
      <c r="E4" s="18"/>
    </row>
    <row r="5" spans="1:5" ht="14.4" customHeight="1" x14ac:dyDescent="0.3">
      <c r="A5" s="101" t="s">
        <v>4</v>
      </c>
      <c r="B5" s="102"/>
      <c r="C5" s="35">
        <v>1000.14</v>
      </c>
      <c r="D5" s="36">
        <v>888.83</v>
      </c>
      <c r="E5" s="18"/>
    </row>
    <row r="6" spans="1:5" ht="14.4" customHeight="1" x14ac:dyDescent="0.3">
      <c r="A6" s="101" t="s">
        <v>5</v>
      </c>
      <c r="B6" s="102"/>
      <c r="C6" s="35">
        <v>0</v>
      </c>
      <c r="D6" s="36">
        <v>0</v>
      </c>
      <c r="E6" s="18"/>
    </row>
    <row r="7" spans="1:5" ht="14.4" customHeight="1" x14ac:dyDescent="0.3">
      <c r="A7" s="101" t="s">
        <v>6</v>
      </c>
      <c r="B7" s="102"/>
      <c r="C7" s="35">
        <v>845.58</v>
      </c>
      <c r="D7" s="36">
        <v>751.54</v>
      </c>
      <c r="E7" s="18"/>
    </row>
    <row r="8" spans="1:5" ht="14.4" customHeight="1" x14ac:dyDescent="0.3">
      <c r="A8" s="107" t="s">
        <v>7</v>
      </c>
      <c r="B8" s="108"/>
      <c r="C8" s="37">
        <v>10532.79</v>
      </c>
      <c r="D8" s="38">
        <v>9287.02</v>
      </c>
      <c r="E8" s="39"/>
    </row>
    <row r="9" spans="1:5" ht="15" customHeight="1" thickBot="1" x14ac:dyDescent="0.35">
      <c r="A9" s="109" t="s">
        <v>8</v>
      </c>
      <c r="B9" s="110"/>
      <c r="C9" s="40">
        <f>SUM(C4:C8)</f>
        <v>1005207.03</v>
      </c>
      <c r="D9" s="40">
        <f t="shared" ref="D9" si="0">SUM(D4:D8)</f>
        <v>897286.62</v>
      </c>
      <c r="E9" s="40">
        <f>D9/C9*100</f>
        <v>89.263862390616183</v>
      </c>
    </row>
    <row r="10" spans="1:5" ht="15" customHeight="1" x14ac:dyDescent="0.3">
      <c r="A10" s="112" t="s">
        <v>60</v>
      </c>
      <c r="B10" s="112"/>
      <c r="C10" s="112"/>
      <c r="D10" s="112"/>
      <c r="E10" s="41">
        <f>E2+C9-D9</f>
        <v>234558.13</v>
      </c>
    </row>
    <row r="11" spans="1:5" x14ac:dyDescent="0.3">
      <c r="A11" s="42"/>
      <c r="B11" s="42"/>
      <c r="C11" s="42"/>
      <c r="D11" s="42"/>
      <c r="E11" s="43"/>
    </row>
    <row r="12" spans="1:5" ht="15" thickBot="1" x14ac:dyDescent="0.35">
      <c r="A12" s="4"/>
      <c r="B12" s="6"/>
      <c r="C12" s="7"/>
      <c r="D12" s="6"/>
      <c r="E12" s="7"/>
    </row>
    <row r="13" spans="1:5" ht="40.200000000000003" thickBot="1" x14ac:dyDescent="0.35">
      <c r="A13" s="44" t="s">
        <v>9</v>
      </c>
      <c r="B13" s="111" t="s">
        <v>61</v>
      </c>
      <c r="C13" s="111"/>
      <c r="D13" s="111"/>
      <c r="E13" s="45" t="s">
        <v>62</v>
      </c>
    </row>
    <row r="14" spans="1:5" ht="43.2" customHeight="1" thickBot="1" x14ac:dyDescent="0.35">
      <c r="A14" s="5">
        <v>1</v>
      </c>
      <c r="B14" s="113" t="s">
        <v>63</v>
      </c>
      <c r="C14" s="114"/>
      <c r="D14" s="115"/>
      <c r="E14" s="10">
        <v>86746.63</v>
      </c>
    </row>
    <row r="15" spans="1:5" ht="43.2" customHeight="1" thickBot="1" x14ac:dyDescent="0.35">
      <c r="A15" s="5">
        <v>2</v>
      </c>
      <c r="B15" s="116" t="s">
        <v>64</v>
      </c>
      <c r="C15" s="117"/>
      <c r="D15" s="118"/>
      <c r="E15" s="8">
        <v>77878.64</v>
      </c>
    </row>
    <row r="16" spans="1:5" ht="43.2" customHeight="1" x14ac:dyDescent="0.3">
      <c r="A16" s="26">
        <v>3</v>
      </c>
      <c r="B16" s="98" t="s">
        <v>65</v>
      </c>
      <c r="C16" s="99"/>
      <c r="D16" s="100"/>
      <c r="E16" s="46">
        <f>11900.03+26270.43</f>
        <v>38170.46</v>
      </c>
    </row>
    <row r="17" spans="1:5" x14ac:dyDescent="0.3">
      <c r="A17" s="27"/>
      <c r="B17" s="47" t="s">
        <v>66</v>
      </c>
      <c r="C17" s="48"/>
      <c r="D17" s="49"/>
      <c r="E17" s="50">
        <f>SUM(E18:E21)</f>
        <v>0</v>
      </c>
    </row>
    <row r="18" spans="1:5" x14ac:dyDescent="0.3">
      <c r="A18" s="51"/>
      <c r="B18" s="85"/>
      <c r="C18" s="140"/>
      <c r="D18" s="141"/>
      <c r="E18" s="52"/>
    </row>
    <row r="19" spans="1:5" x14ac:dyDescent="0.3">
      <c r="A19" s="51"/>
      <c r="B19" s="85"/>
      <c r="C19" s="86"/>
      <c r="D19" s="87"/>
      <c r="E19" s="52"/>
    </row>
    <row r="20" spans="1:5" x14ac:dyDescent="0.3">
      <c r="A20" s="51"/>
      <c r="B20" s="88"/>
      <c r="C20" s="89"/>
      <c r="D20" s="90"/>
      <c r="E20" s="53"/>
    </row>
    <row r="21" spans="1:5" ht="15" thickBot="1" x14ac:dyDescent="0.35">
      <c r="A21" s="54"/>
      <c r="B21" s="137"/>
      <c r="C21" s="138"/>
      <c r="D21" s="139"/>
      <c r="E21" s="55"/>
    </row>
    <row r="22" spans="1:5" ht="40.950000000000003" customHeight="1" x14ac:dyDescent="0.3">
      <c r="A22" s="29">
        <v>4</v>
      </c>
      <c r="B22" s="98" t="s">
        <v>67</v>
      </c>
      <c r="C22" s="99"/>
      <c r="D22" s="100"/>
      <c r="E22" s="46">
        <f>17850.04+E23+319486.71</f>
        <v>351326.69</v>
      </c>
    </row>
    <row r="23" spans="1:5" x14ac:dyDescent="0.3">
      <c r="A23" s="27"/>
      <c r="B23" s="47" t="s">
        <v>66</v>
      </c>
      <c r="C23" s="48"/>
      <c r="D23" s="49"/>
      <c r="E23" s="50">
        <f>SUM(E24:E27)</f>
        <v>13989.94</v>
      </c>
    </row>
    <row r="24" spans="1:5" x14ac:dyDescent="0.3">
      <c r="A24" s="51"/>
      <c r="B24" s="82" t="s">
        <v>105</v>
      </c>
      <c r="C24" s="83"/>
      <c r="D24" s="84"/>
      <c r="E24" s="52">
        <v>13989.94</v>
      </c>
    </row>
    <row r="25" spans="1:5" x14ac:dyDescent="0.3">
      <c r="A25" s="51"/>
      <c r="B25" s="85"/>
      <c r="C25" s="86"/>
      <c r="D25" s="87"/>
      <c r="E25" s="52"/>
    </row>
    <row r="26" spans="1:5" x14ac:dyDescent="0.3">
      <c r="A26" s="51"/>
      <c r="B26" s="88"/>
      <c r="C26" s="89"/>
      <c r="D26" s="90"/>
      <c r="E26" s="53"/>
    </row>
    <row r="27" spans="1:5" ht="15" thickBot="1" x14ac:dyDescent="0.35">
      <c r="A27" s="56"/>
      <c r="B27" s="92"/>
      <c r="C27" s="93"/>
      <c r="D27" s="94"/>
      <c r="E27" s="19"/>
    </row>
    <row r="28" spans="1:5" ht="15" thickBot="1" x14ac:dyDescent="0.35">
      <c r="A28" s="5">
        <v>5</v>
      </c>
      <c r="B28" s="91" t="s">
        <v>68</v>
      </c>
      <c r="C28" s="91"/>
      <c r="D28" s="91"/>
      <c r="E28" s="17">
        <v>17434.39</v>
      </c>
    </row>
    <row r="29" spans="1:5" ht="28.2" customHeight="1" thickBot="1" x14ac:dyDescent="0.35">
      <c r="A29" s="28">
        <v>6</v>
      </c>
      <c r="B29" s="124" t="s">
        <v>69</v>
      </c>
      <c r="C29" s="125"/>
      <c r="D29" s="126"/>
      <c r="E29" s="57">
        <v>43200</v>
      </c>
    </row>
    <row r="30" spans="1:5" x14ac:dyDescent="0.3">
      <c r="A30" s="26">
        <v>7</v>
      </c>
      <c r="B30" s="130" t="s">
        <v>70</v>
      </c>
      <c r="C30" s="131"/>
      <c r="D30" s="132"/>
      <c r="E30" s="58">
        <f>SUM(E32:E35)</f>
        <v>0</v>
      </c>
    </row>
    <row r="31" spans="1:5" ht="14.4" customHeight="1" x14ac:dyDescent="0.3">
      <c r="A31" s="27"/>
      <c r="B31" s="59" t="s">
        <v>71</v>
      </c>
      <c r="C31" s="14"/>
      <c r="D31" s="15"/>
      <c r="E31" s="60"/>
    </row>
    <row r="32" spans="1:5" ht="15" customHeight="1" x14ac:dyDescent="0.3">
      <c r="A32" s="51"/>
      <c r="B32" s="127" t="s">
        <v>72</v>
      </c>
      <c r="C32" s="127"/>
      <c r="D32" s="127"/>
      <c r="E32" s="13">
        <v>0</v>
      </c>
    </row>
    <row r="33" spans="1:6" ht="14.4" customHeight="1" x14ac:dyDescent="0.3">
      <c r="A33" s="61"/>
      <c r="B33" s="127" t="s">
        <v>73</v>
      </c>
      <c r="C33" s="127"/>
      <c r="D33" s="127"/>
      <c r="E33" s="13">
        <v>0</v>
      </c>
    </row>
    <row r="34" spans="1:6" x14ac:dyDescent="0.3">
      <c r="A34" s="30"/>
      <c r="B34" s="133" t="s">
        <v>74</v>
      </c>
      <c r="C34" s="134"/>
      <c r="D34" s="135"/>
      <c r="E34" s="13">
        <v>0</v>
      </c>
    </row>
    <row r="35" spans="1:6" ht="15" thickBot="1" x14ac:dyDescent="0.35">
      <c r="A35" s="62"/>
      <c r="B35" s="128" t="s">
        <v>75</v>
      </c>
      <c r="C35" s="128"/>
      <c r="D35" s="128"/>
      <c r="E35" s="16">
        <v>0</v>
      </c>
    </row>
    <row r="36" spans="1:6" ht="27" customHeight="1" x14ac:dyDescent="0.3">
      <c r="A36" s="26">
        <v>8</v>
      </c>
      <c r="B36" s="98" t="s">
        <v>76</v>
      </c>
      <c r="C36" s="99"/>
      <c r="D36" s="100"/>
      <c r="E36" s="58">
        <f>SUM(E38:E39)</f>
        <v>255.26</v>
      </c>
    </row>
    <row r="37" spans="1:6" x14ac:dyDescent="0.3">
      <c r="A37" s="27"/>
      <c r="B37" s="59" t="s">
        <v>71</v>
      </c>
      <c r="C37" s="11"/>
      <c r="D37" s="12"/>
      <c r="E37" s="60"/>
    </row>
    <row r="38" spans="1:6" ht="14.4" customHeight="1" x14ac:dyDescent="0.3">
      <c r="A38" s="27"/>
      <c r="B38" s="129" t="s">
        <v>77</v>
      </c>
      <c r="C38" s="129"/>
      <c r="D38" s="129"/>
      <c r="E38" s="13">
        <v>255.26</v>
      </c>
    </row>
    <row r="39" spans="1:6" ht="15" thickBot="1" x14ac:dyDescent="0.35">
      <c r="A39" s="28"/>
      <c r="B39" s="136" t="s">
        <v>78</v>
      </c>
      <c r="C39" s="136"/>
      <c r="D39" s="136"/>
      <c r="E39" s="16">
        <v>0</v>
      </c>
    </row>
    <row r="40" spans="1:6" ht="15" thickBot="1" x14ac:dyDescent="0.35">
      <c r="A40" s="9">
        <v>9</v>
      </c>
      <c r="B40" s="76" t="s">
        <v>10</v>
      </c>
      <c r="C40" s="77"/>
      <c r="D40" s="78"/>
      <c r="E40" s="17">
        <v>26958.12</v>
      </c>
    </row>
    <row r="41" spans="1:6" ht="15" thickBot="1" x14ac:dyDescent="0.35">
      <c r="A41" s="9">
        <v>10</v>
      </c>
      <c r="B41" s="76" t="s">
        <v>11</v>
      </c>
      <c r="C41" s="77"/>
      <c r="D41" s="78"/>
      <c r="E41" s="17">
        <v>13862.4</v>
      </c>
    </row>
    <row r="42" spans="1:6" ht="15" thickBot="1" x14ac:dyDescent="0.35">
      <c r="A42" s="9">
        <v>11</v>
      </c>
      <c r="B42" s="76" t="s">
        <v>12</v>
      </c>
      <c r="C42" s="77"/>
      <c r="D42" s="78"/>
      <c r="E42" s="17">
        <v>79191.73</v>
      </c>
    </row>
    <row r="43" spans="1:6" ht="15" thickBot="1" x14ac:dyDescent="0.35">
      <c r="A43" s="9">
        <v>12</v>
      </c>
      <c r="B43" s="76" t="s">
        <v>79</v>
      </c>
      <c r="C43" s="77"/>
      <c r="D43" s="78"/>
      <c r="E43" s="17">
        <v>21140.04</v>
      </c>
    </row>
    <row r="44" spans="1:6" ht="15" thickBot="1" x14ac:dyDescent="0.35">
      <c r="A44" s="9">
        <v>13</v>
      </c>
      <c r="B44" s="76" t="s">
        <v>80</v>
      </c>
      <c r="C44" s="77"/>
      <c r="D44" s="78"/>
      <c r="E44" s="17">
        <v>32349.74</v>
      </c>
    </row>
    <row r="45" spans="1:6" ht="28.2" customHeight="1" thickBot="1" x14ac:dyDescent="0.35">
      <c r="A45" s="5">
        <v>14</v>
      </c>
      <c r="B45" s="119" t="s">
        <v>81</v>
      </c>
      <c r="C45" s="120"/>
      <c r="D45" s="121"/>
      <c r="E45" s="20">
        <v>12378.51</v>
      </c>
      <c r="F45" s="74"/>
    </row>
    <row r="46" spans="1:6" ht="21.6" customHeight="1" thickBot="1" x14ac:dyDescent="0.35">
      <c r="A46" s="28">
        <v>15</v>
      </c>
      <c r="B46" s="63" t="s">
        <v>82</v>
      </c>
      <c r="C46" s="64"/>
      <c r="D46" s="64"/>
      <c r="E46" s="8">
        <f>E14+E15+E16+E22+E28+E29+E30+E36+E40+E41+E42+E43+E44+E45</f>
        <v>800892.6100000001</v>
      </c>
    </row>
  </sheetData>
  <mergeCells count="39">
    <mergeCell ref="B44:D44"/>
    <mergeCell ref="B45:D45"/>
    <mergeCell ref="B18:D18"/>
    <mergeCell ref="B19:D19"/>
    <mergeCell ref="B43:D43"/>
    <mergeCell ref="B29:D29"/>
    <mergeCell ref="B32:D32"/>
    <mergeCell ref="B33:D33"/>
    <mergeCell ref="B35:D35"/>
    <mergeCell ref="B36:D36"/>
    <mergeCell ref="B38:D38"/>
    <mergeCell ref="B40:D40"/>
    <mergeCell ref="B41:D41"/>
    <mergeCell ref="B30:D30"/>
    <mergeCell ref="B34:D34"/>
    <mergeCell ref="B39:D39"/>
    <mergeCell ref="A7:B7"/>
    <mergeCell ref="A8:B8"/>
    <mergeCell ref="A9:B9"/>
    <mergeCell ref="B13:D13"/>
    <mergeCell ref="B16:D16"/>
    <mergeCell ref="A10:D10"/>
    <mergeCell ref="B14:D14"/>
    <mergeCell ref="B15:D15"/>
    <mergeCell ref="A6:B6"/>
    <mergeCell ref="A1:E1"/>
    <mergeCell ref="A3:B3"/>
    <mergeCell ref="A4:B4"/>
    <mergeCell ref="A5:B5"/>
    <mergeCell ref="A2:D2"/>
    <mergeCell ref="B42:D42"/>
    <mergeCell ref="B20:D20"/>
    <mergeCell ref="B24:D24"/>
    <mergeCell ref="B25:D25"/>
    <mergeCell ref="B26:D26"/>
    <mergeCell ref="B28:D28"/>
    <mergeCell ref="B27:D27"/>
    <mergeCell ref="B21:D21"/>
    <mergeCell ref="B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48</vt:i4>
      </vt:variant>
    </vt:vector>
  </HeadingPairs>
  <TitlesOfParts>
    <vt:vector size="48" baseType="lpstr">
      <vt:lpstr>Мира19</vt:lpstr>
      <vt:lpstr>Мира21</vt:lpstr>
      <vt:lpstr>Мира21а</vt:lpstr>
      <vt:lpstr>Мира23</vt:lpstr>
      <vt:lpstr>Мира23а</vt:lpstr>
      <vt:lpstr>Мира23б</vt:lpstr>
      <vt:lpstr>Мира25</vt:lpstr>
      <vt:lpstr>Мира25а</vt:lpstr>
      <vt:lpstr>Мира25б</vt:lpstr>
      <vt:lpstr>Мира25в</vt:lpstr>
      <vt:lpstr>Пионерская16а</vt:lpstr>
      <vt:lpstr>Пионерская18а</vt:lpstr>
      <vt:lpstr>Победы11к1</vt:lpstr>
      <vt:lpstr>Победы11к2</vt:lpstr>
      <vt:lpstr>Победы11к3</vt:lpstr>
      <vt:lpstr>Победы13к1</vt:lpstr>
      <vt:lpstr>Победы13к2</vt:lpstr>
      <vt:lpstr>Победы13к3</vt:lpstr>
      <vt:lpstr>Победы13к4</vt:lpstr>
      <vt:lpstr>Победы13к5</vt:lpstr>
      <vt:lpstr>Победы1к1</vt:lpstr>
      <vt:lpstr>Победы1к2</vt:lpstr>
      <vt:lpstr>Победы1к3</vt:lpstr>
      <vt:lpstr>Победы1к4</vt:lpstr>
      <vt:lpstr>Победы1к5</vt:lpstr>
      <vt:lpstr>Победы1к6</vt:lpstr>
      <vt:lpstr>Победы3к1</vt:lpstr>
      <vt:lpstr>Победы3к3</vt:lpstr>
      <vt:lpstr>Победы3к4</vt:lpstr>
      <vt:lpstr>Победы3к5</vt:lpstr>
      <vt:lpstr>Победы3к6</vt:lpstr>
      <vt:lpstr>Победы3к7</vt:lpstr>
      <vt:lpstr>Победы5к1</vt:lpstr>
      <vt:lpstr>Победы9к1</vt:lpstr>
      <vt:lpstr>Победы9к2</vt:lpstr>
      <vt:lpstr>Радио15</vt:lpstr>
      <vt:lpstr>Радио17</vt:lpstr>
      <vt:lpstr>Тевосяна10</vt:lpstr>
      <vt:lpstr>Тевосяна10а</vt:lpstr>
      <vt:lpstr>Тевосяна10б</vt:lpstr>
      <vt:lpstr>Тевосяна12а</vt:lpstr>
      <vt:lpstr>Тевосяна12б</vt:lpstr>
      <vt:lpstr>Тевосяна14</vt:lpstr>
      <vt:lpstr>Тевосяна14а</vt:lpstr>
      <vt:lpstr>Тевосяна16</vt:lpstr>
      <vt:lpstr>Фр.шоссе50</vt:lpstr>
      <vt:lpstr>2-я Поселковая</vt:lpstr>
      <vt:lpstr>Спортивная14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2022-06-17T11:32:08Z</dcterms:modified>
</cp:coreProperties>
</file>